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86" yWindow="65036" windowWidth="12080" windowHeight="9230" tabRatio="720" activeTab="0"/>
  </bookViews>
  <sheets>
    <sheet name="Premessa" sheetId="1" r:id="rId1"/>
    <sheet name="Istruzioni" sheetId="2" r:id="rId2"/>
    <sheet name="Requisiti" sheetId="3" r:id="rId3"/>
    <sheet name="Datipers" sheetId="4" r:id="rId4"/>
    <sheet name="Irpef" sheetId="5" r:id="rId5"/>
    <sheet name="Contributivo" sheetId="6" r:id="rId6"/>
    <sheet name="Determina" sheetId="7" r:id="rId7"/>
    <sheet name="CalcoloA" sheetId="8" r:id="rId8"/>
    <sheet name="CalcoloB" sheetId="9" r:id="rId9"/>
    <sheet name="Stampa" sheetId="10" r:id="rId10"/>
    <sheet name="NuovoCedolino" sheetId="11" state="hidden" r:id="rId11"/>
    <sheet name="Aliquote" sheetId="12" state="hidden" r:id="rId12"/>
    <sheet name="Dati" sheetId="13" state="hidden" r:id="rId13"/>
  </sheets>
  <externalReferences>
    <externalReference r:id="rId16"/>
  </externalReferences>
  <definedNames>
    <definedName name="_xlnm.Print_Area" localSheetId="9">'Stampa'!$C$4:$G$57</definedName>
    <definedName name="mic" localSheetId="1">'[1]CalcoloA'!$AR$4</definedName>
    <definedName name="mic" localSheetId="0">'[1]CalcoloA'!$AR$4</definedName>
    <definedName name="mic">'CalcoloA'!$AR$4</definedName>
    <definedName name="MINA38">'Contributivo'!$AP$28</definedName>
    <definedName name="nap21">'Contributivo'!$AP$27</definedName>
  </definedNames>
  <calcPr fullCalcOnLoad="1"/>
</workbook>
</file>

<file path=xl/comments1.xml><?xml version="1.0" encoding="utf-8"?>
<comments xmlns="http://schemas.openxmlformats.org/spreadsheetml/2006/main">
  <authors>
    <author>Michele</author>
  </authors>
  <commentList>
    <comment ref="E22" authorId="0">
      <text>
        <r>
          <rPr>
            <b/>
            <sz val="9"/>
            <rFont val="Tahoma"/>
            <family val="2"/>
          </rPr>
          <t>Effetti del comma 707 dell'art. 1  della legge 190/14</t>
        </r>
        <r>
          <rPr>
            <sz val="9"/>
            <rFont val="Tahoma"/>
            <family val="2"/>
          </rPr>
          <t xml:space="preserve">
Prima della legge di stabilità per il 2015, il comma 2 dell'art. 24 della legge 214/11 (noto come riforma Fornero) così recitava:
2 - A decorrere dal 1° gennaio 2012, con riferimento alle anzianità contributive maturate da tale data, la quota di pensione corrispondente a tali anzianità è calcolata secondo il sistema contributivo.
Dopo la legge di stabilità, per effetto del comma 707 dell'art. 1 della legge 190/14,  è diventato così:
2 - A decorrere dal 1° gennaio 2012, con riferiomento alle anzianità contributive maturate da tale data, la quota di  pensione corrispondente a tali anzianità è calcolata secondo il sistema contributivo.
In ogni caso, l'importo complessivo del trattamento pensionistico non può eccedere quello che sarebbe stato  liquidato con l'applicazione delle regole di calcolo vigenti prima della data di entrata in vigore del presente decreto
computando, ai fini della determinazione della misura del trattamento, l'anzianità contributiva necessaria per il conseguimento del diritto alla prestazione, integrata da quella eventualmente maturata fra la data di conseguimento del diritto e la data di decorrenza del primo periodo utile per la corresponsione della pensione stessa.
Un'applicazione letterale e rigida di quanto disposto dal comma 707 avrebbe scatenato un insostenibile contenzioso per cui l'INPS non è intervenuta per oltre un anno;  infine ha concordato con i ministeri competenti un'interpretazione meno rigida che ne ha mitigato gli effetti limitandoli alle pensioni più elevate.
Potete verificarlo in quanto questo programma è impostato per eseguire il doppio calcolo. Per cui trovate:  
nella sezione Calcolo A la procedura secondo la riforma Fornero, art. 24 della legge 214/11;    
nella sezione Calcolo B la procedura secondo la normativa esistente prima della riforma Fornero, tenuto conto delle indicazioni contenute nel messaggio n. 1180 dell'INPS.            
</t>
        </r>
      </text>
    </comment>
  </commentList>
</comments>
</file>

<file path=xl/comments4.xml><?xml version="1.0" encoding="utf-8"?>
<comments xmlns="http://schemas.openxmlformats.org/spreadsheetml/2006/main">
  <authors>
    <author>Michele Napoli</author>
    <author>Michele</author>
  </authors>
  <commentList>
    <comment ref="C25" authorId="0">
      <text>
        <r>
          <rPr>
            <sz val="8"/>
            <rFont val="Tahoma"/>
            <family val="2"/>
          </rPr>
          <t xml:space="preserve">Il dato si rileva dai cedolini dello stipendio; indicare l'anno dal quale è stata attribuita la classe in godi-mento alla cessazione.
</t>
        </r>
      </text>
    </comment>
    <comment ref="B25" authorId="0">
      <text>
        <r>
          <rPr>
            <sz val="8"/>
            <rFont val="Tahoma"/>
            <family val="2"/>
          </rPr>
          <t>Il dato si rileva dal cedolino dello stipendio, nella fascia dell'inquadramento retributivo e può essere: 9 - 15 - 21 - 28 - 35.
Per anzianità 0 e 3 i dati stipendiali vanno inseriti manualmente.</t>
        </r>
      </text>
    </comment>
    <comment ref="G21" authorId="1">
      <text>
        <r>
          <rPr>
            <b/>
            <sz val="9"/>
            <rFont val="Tahoma"/>
            <family val="2"/>
          </rPr>
          <t>Anzianità pensionistica al 31/12/92: è calcolata automaticamente, ma è da modificare nel caso in cui dal 1/1/93 alla cessazione sono presenti periodi non utili o a part-time.</t>
        </r>
        <r>
          <rPr>
            <sz val="9"/>
            <rFont val="Tahoma"/>
            <family val="2"/>
          </rPr>
          <t xml:space="preserve">
</t>
        </r>
      </text>
    </comment>
    <comment ref="C29" authorId="1">
      <text>
        <r>
          <rPr>
            <b/>
            <sz val="9"/>
            <rFont val="Tahoma"/>
            <family val="2"/>
          </rPr>
          <t xml:space="preserve">Questo inserimento riguarda essenzialmente quanti percepiscono importi assimilabili allo stipendio, quali, ad  esempio: 
- assegni ad personam
- ore aggiuntive istituzionali
- valorizzazione professionale personale ata
</t>
        </r>
        <r>
          <rPr>
            <b/>
            <sz val="9"/>
            <color indexed="10"/>
            <rFont val="Tahoma"/>
            <family val="2"/>
          </rPr>
          <t>Si deve precisare che il programma tiene conto di questo inserimento solo per il calcolo della quota A, per gli  effetti sulla quota B si deve proceder ad un calcolo individuale e personalizzato della pensione per il quale non è utilizzabile questo programma.</t>
        </r>
        <r>
          <rPr>
            <b/>
            <sz val="9"/>
            <rFont val="Tahoma"/>
            <family val="2"/>
          </rPr>
          <t xml:space="preserve">
</t>
        </r>
      </text>
    </comment>
    <comment ref="G22" authorId="1">
      <text>
        <r>
          <rPr>
            <b/>
            <sz val="9"/>
            <rFont val="Tahoma"/>
            <family val="2"/>
          </rPr>
          <t>Anzianità pensionistica alla cessazione: è calcolata automaticamente, ma è da modificare nel caso in cui dal 1/1/2012 alla cessazione sono presenti periodi non utili o a part-time.</t>
        </r>
        <r>
          <rPr>
            <sz val="9"/>
            <rFont val="Tahoma"/>
            <family val="2"/>
          </rPr>
          <t xml:space="preserve">
</t>
        </r>
      </text>
    </comment>
  </commentList>
</comments>
</file>

<file path=xl/comments5.xml><?xml version="1.0" encoding="utf-8"?>
<comments xmlns="http://schemas.openxmlformats.org/spreadsheetml/2006/main">
  <authors>
    <author>NAPOLI</author>
  </authors>
  <commentList>
    <comment ref="C19" authorId="0">
      <text>
        <r>
          <rPr>
            <sz val="8"/>
            <rFont val="Tahoma"/>
            <family val="2"/>
          </rPr>
          <t xml:space="preserve">Per modificare la percentuale risultata automaticamente, inserire il valore in questa cella
</t>
        </r>
      </text>
    </comment>
  </commentList>
</comments>
</file>

<file path=xl/comments6.xml><?xml version="1.0" encoding="utf-8"?>
<comments xmlns="http://schemas.openxmlformats.org/spreadsheetml/2006/main">
  <authors>
    <author>NAPOLI</author>
    <author>Michele</author>
  </authors>
  <commentList>
    <comment ref="D6" authorId="0">
      <text>
        <r>
          <rPr>
            <sz val="8"/>
            <rFont val="Tahoma"/>
            <family val="2"/>
          </rPr>
          <t xml:space="preserve">Per convertire un valore in euro inseriscilo in lire nella cella C5
.
</t>
        </r>
      </text>
    </comment>
    <comment ref="B8" authorId="1">
      <text>
        <r>
          <rPr>
            <b/>
            <sz val="9"/>
            <rFont val="Tahoma"/>
            <family val="2"/>
          </rPr>
          <t>Dal 93 al 95 la classe è determinata dal DPR 399/89; dal 1/1/96 in poi dal CCNL del 95 che ha sostituito ai bienni i gradoni di 6-7 anni.</t>
        </r>
        <r>
          <rPr>
            <sz val="9"/>
            <rFont val="Tahoma"/>
            <family val="2"/>
          </rPr>
          <t xml:space="preserve">
</t>
        </r>
      </text>
    </comment>
    <comment ref="C8" authorId="1">
      <text>
        <r>
          <rPr>
            <b/>
            <sz val="9"/>
            <rFont val="Tahoma"/>
            <family val="2"/>
          </rPr>
          <t xml:space="preserve">Inserire lo stipendio mensile tabellare secondo il CCNL vigente.
Per il personale della scuola è pari ad un dodicesimo dell'importo tabellare indicato nel CCNL.
Nel cedolino del Tesoro è indicato comne "STIPENDIO"
Per i dirigenti scolastici è pari au un tredicesimo dell'importo tabellare dal quale si deve scorporare l'indennità integrativa speciale.
</t>
        </r>
      </text>
    </comment>
    <comment ref="D8" authorId="1">
      <text>
        <r>
          <rPr>
            <b/>
            <sz val="9"/>
            <rFont val="Tahoma"/>
            <family val="2"/>
          </rPr>
          <t>Inserire la somma di eventuali voci mensili dello stipendio riferibili a:
1) assegno ad personam assorbibile o non assorbibile
2) ore eccedenti considerate istituzionali (facenti parte della cattedra)
3) valorizzazione professionale ATA
4) indennità di vacanza contrattuale
    e per i dirigenti scolastici
1) RIA - retribuzione individuale di anzianità
2) retribuzione di posizione quota fissa e variabile</t>
        </r>
        <r>
          <rPr>
            <sz val="9"/>
            <rFont val="Tahoma"/>
            <family val="2"/>
          </rPr>
          <t xml:space="preserve">
</t>
        </r>
      </text>
    </comment>
    <comment ref="M8" authorId="1">
      <text>
        <r>
          <rPr>
            <b/>
            <sz val="9"/>
            <rFont val="Tahoma"/>
            <family val="2"/>
          </rPr>
          <t>Le colonne con gli orari  vanno modificate solo in caso di part-time.</t>
        </r>
        <r>
          <rPr>
            <sz val="9"/>
            <rFont val="Tahoma"/>
            <family val="2"/>
          </rPr>
          <t xml:space="preserve">
</t>
        </r>
      </text>
    </comment>
    <comment ref="J8" authorId="1">
      <text>
        <r>
          <rPr>
            <b/>
            <sz val="9"/>
            <rFont val="Tahoma"/>
            <family val="2"/>
          </rPr>
          <t>Inserire, per tipologia di personale,  l'importo mensile di:
1) Retribuzione professionale docenti
2) Compenso individuale accessorio
3) Indennità di amministrazione
4) Indennità di direzione
5) Retribuzione di risultato
           cui aggiungere
ogni altra retribuzione accessoria fissa e continuativa come le ore aggiuntive non facenti parte della cattedra e l'indennità di reggenza...</t>
        </r>
      </text>
    </comment>
    <comment ref="L6" authorId="1">
      <text>
        <r>
          <rPr>
            <b/>
            <sz val="9"/>
            <rFont val="Tahoma"/>
            <family val="2"/>
          </rPr>
          <t xml:space="preserve">Il part-time anteriore al 1/1/96 riguarda le quote A e B della pensione, pertanto si converte  in una riduzione dell'anzianità pensionistica anziché in una riduzione della retribuzione.
Le quote A e B si calcolano col sistema retributivo.
</t>
        </r>
        <r>
          <rPr>
            <b/>
            <sz val="9"/>
            <color indexed="10"/>
            <rFont val="Tahoma"/>
            <family val="2"/>
          </rPr>
          <t>La quota C (dal 1/1/96 in poi) si calcola col sistema contributivo, per cui la riduzione deve essere effettuata sulle retribuzioni.</t>
        </r>
        <r>
          <rPr>
            <b/>
            <sz val="9"/>
            <rFont val="Tahoma"/>
            <family val="2"/>
          </rPr>
          <t xml:space="preserve">
</t>
        </r>
        <r>
          <rPr>
            <sz val="9"/>
            <rFont val="Tahoma"/>
            <family val="2"/>
          </rPr>
          <t xml:space="preserve">
</t>
        </r>
      </text>
    </comment>
    <comment ref="H6" authorId="0">
      <text>
        <r>
          <rPr>
            <sz val="8"/>
            <rFont val="Tahoma"/>
            <family val="2"/>
          </rPr>
          <t xml:space="preserve">Per convertire un valore in euro inseriscilo in lire nella cella G5
.
</t>
        </r>
      </text>
    </comment>
    <comment ref="O26" authorId="1">
      <text>
        <r>
          <rPr>
            <b/>
            <sz val="9"/>
            <rFont val="Tahoma"/>
            <family val="2"/>
          </rPr>
          <t xml:space="preserve">Inserire l'importo annuo ricevuto come retribuzione accessoria, di norma il fondo di istituto.
</t>
        </r>
        <r>
          <rPr>
            <sz val="9"/>
            <rFont val="Tahoma"/>
            <family val="2"/>
          </rPr>
          <t xml:space="preserve">
</t>
        </r>
      </text>
    </comment>
  </commentList>
</comments>
</file>

<file path=xl/comments8.xml><?xml version="1.0" encoding="utf-8"?>
<comments xmlns="http://schemas.openxmlformats.org/spreadsheetml/2006/main">
  <authors>
    <author>Michele</author>
  </authors>
  <commentList>
    <comment ref="C26" authorId="0">
      <text>
        <r>
          <rPr>
            <b/>
            <sz val="9"/>
            <rFont val="Tahoma"/>
            <family val="2"/>
          </rPr>
          <t>MEDIA RETRIBUTIVA DEGLI ULTIMI 10 ANNI
Il contenuto della cella E25 è stato calcolato preventimamente,  ma è valido per i casi standard.
In caso di retribuzione individuale e personale per assegni ad personam, ore aggiuntive istituzionali, valorizzazione professionale ata ecc,  si può eseguire il calcolo individualizzato e poi inserirlo in H25.
Per il calcolo individualizzato della media si deve scaricare l'apposito foglio di calcolo nella sezione PROGRAMMI DI CALCOLO del sito.</t>
        </r>
        <r>
          <rPr>
            <sz val="9"/>
            <rFont val="Tahoma"/>
            <family val="2"/>
          </rPr>
          <t xml:space="preserve">
</t>
        </r>
      </text>
    </comment>
    <comment ref="C28" authorId="0">
      <text>
        <r>
          <rPr>
            <b/>
            <sz val="9"/>
            <rFont val="Tahoma"/>
            <family val="2"/>
          </rPr>
          <t>ANZIANITA' AL 31/12/97
Viene calcolata automaticamente per i casi in cui vi è stata continuità di servizio.
Per modificare i dati contenuti nelle celle D27 ed E27 basta inserire i valori reali nelle celle H27 ed I27.</t>
        </r>
      </text>
    </comment>
    <comment ref="C33" authorId="0">
      <text>
        <r>
          <rPr>
            <b/>
            <sz val="9"/>
            <rFont val="Tahoma"/>
            <family val="2"/>
          </rPr>
          <t>RIDUZIONE DELLA MEDIA DECENNALE
Si applica se la media decennale supera  i seguenti importi:
2011 - 43.042,00
2012 - 44.204,00
2013 - 45.530,00
La riduzione, introdotta dal c. 6 dell'art. 21 della legge n. 67/88 é stata modificata ed estesa al pubblico impiego dal c. 1 dell'art. 12 del DPR 503/92.</t>
        </r>
      </text>
    </comment>
    <comment ref="C48" authorId="0">
      <text>
        <r>
          <rPr>
            <b/>
            <sz val="9"/>
            <rFont val="Tahoma"/>
            <family val="2"/>
          </rPr>
          <t>Per il personale della scuola e per gli statali l'importo annuo viene considerato per 12 mensilità e non per 13 come avviene per Enti Locali ed Ospedalieri.</t>
        </r>
      </text>
    </comment>
  </commentList>
</comments>
</file>

<file path=xl/comments9.xml><?xml version="1.0" encoding="utf-8"?>
<comments xmlns="http://schemas.openxmlformats.org/spreadsheetml/2006/main">
  <authors>
    <author>Michele</author>
  </authors>
  <commentList>
    <comment ref="C26" authorId="0">
      <text>
        <r>
          <rPr>
            <b/>
            <sz val="9"/>
            <rFont val="Tahoma"/>
            <family val="2"/>
          </rPr>
          <t>MEDIA RETRIBUTIVA DEGLI ULTIMI 10 ANNI
Il contenuto della cella E25 è stato calcolato preventimamente,  ma è valido per i casi standard.
In caso di retribuzione individuale e personale per assegni ad personam, ore aggiuntive istituzionali, valorizzazione professionale ata ecc,  si può eseguire il calcolo individualizzato e poi inserirlo in H25.
Per il calcolo individualizzato della media si deve scaricare l'apposito foglio di calcolo nella sezione PROGRAMMI DI CALCOLO del sito.</t>
        </r>
        <r>
          <rPr>
            <sz val="9"/>
            <rFont val="Tahoma"/>
            <family val="2"/>
          </rPr>
          <t xml:space="preserve">
</t>
        </r>
      </text>
    </comment>
    <comment ref="C28" authorId="0">
      <text>
        <r>
          <rPr>
            <b/>
            <sz val="9"/>
            <rFont val="Tahoma"/>
            <family val="2"/>
          </rPr>
          <t>ANZIANITA' AL 31/12/97
Viene calcolata automaticamente per i casi in cui vi è stata continuità di servizio.
Per modificare i dati contenuti nelle celle D27 ed E27 basta inserire i valori reali nelle celle H27 ed I27.</t>
        </r>
      </text>
    </comment>
    <comment ref="C33" authorId="0">
      <text>
        <r>
          <rPr>
            <b/>
            <sz val="9"/>
            <rFont val="Tahoma"/>
            <family val="2"/>
          </rPr>
          <t>RIDUZIONE DELLA MEDIA DECENNALE
Si applica se la media decennale supera  i seguenti importi:
2011 - 43.042,00
2012 - 44.204,00
2013 - 45.530,00
La riduzione, introdotta dal c. 6 dell'art. 21 della legge n. 67/88 é stata modificata ed estesa al pubblico impiego dal c. 1 dell'art. 12 del DPR 503/92.</t>
        </r>
      </text>
    </comment>
  </commentList>
</comments>
</file>

<file path=xl/sharedStrings.xml><?xml version="1.0" encoding="utf-8"?>
<sst xmlns="http://schemas.openxmlformats.org/spreadsheetml/2006/main" count="985" uniqueCount="656">
  <si>
    <t xml:space="preserve"> </t>
  </si>
  <si>
    <t>Qualifica</t>
  </si>
  <si>
    <t>mesi</t>
  </si>
  <si>
    <t>anni</t>
  </si>
  <si>
    <t>ISTRUZIONI</t>
  </si>
  <si>
    <t>Collaboratori scolastici</t>
  </si>
  <si>
    <t>Stipendio</t>
  </si>
  <si>
    <t>Media</t>
  </si>
  <si>
    <t>Assistenti amm. e tecn.</t>
  </si>
  <si>
    <t>Docenti diplom. second.</t>
  </si>
  <si>
    <t>Docenti scuola media</t>
  </si>
  <si>
    <t>Docenti second. super.</t>
  </si>
  <si>
    <t>anz.</t>
  </si>
  <si>
    <t>giorni</t>
  </si>
  <si>
    <t>INDENNITA' INTEGRATIVA SPECIALE</t>
  </si>
  <si>
    <t>Collaboratore scolastico</t>
  </si>
  <si>
    <t>Assistente tecnico/amministrativo</t>
  </si>
  <si>
    <t>Insegnante scuola elementare</t>
  </si>
  <si>
    <t>Insegnante tecnico-pratico</t>
  </si>
  <si>
    <t>Insegnante scuola media</t>
  </si>
  <si>
    <t>Insegnante secondaria superiore</t>
  </si>
  <si>
    <t>Responsabileamministrativo</t>
  </si>
  <si>
    <t>Anzianità pensionistica al 31/12/97 in anni e mesi</t>
  </si>
  <si>
    <t>Imponibile</t>
  </si>
  <si>
    <t>Classe di inquadramento retributivo e anno dell'attribuzione</t>
  </si>
  <si>
    <t>Cognome e nome</t>
  </si>
  <si>
    <t>INDENNITA' INTEGRATIVA SPECIALE RIVALUTATA</t>
  </si>
  <si>
    <t>Coefficiente di rivalutazione</t>
  </si>
  <si>
    <t>Coordinatori amm. e tec.</t>
  </si>
  <si>
    <t>Responsabile amministrativo</t>
  </si>
  <si>
    <t>mensile</t>
  </si>
  <si>
    <t>Cl/Fascia</t>
  </si>
  <si>
    <t>Comune di residenza</t>
  </si>
  <si>
    <t>BUSTO ARSIZIO</t>
  </si>
  <si>
    <t>Scadenza</t>
  </si>
  <si>
    <t>Descrizione</t>
  </si>
  <si>
    <t>Competenze</t>
  </si>
  <si>
    <t>Ritenute</t>
  </si>
  <si>
    <t>STIPENDIO</t>
  </si>
  <si>
    <t>677/001</t>
  </si>
  <si>
    <t>RETRIBUZIONE PROFESSIONALE DOCENTI</t>
  </si>
  <si>
    <t>nota</t>
  </si>
  <si>
    <t>Scaglioni</t>
  </si>
  <si>
    <t>Fino a €</t>
  </si>
  <si>
    <t>Da € 15.000,01 a €</t>
  </si>
  <si>
    <t>Da € 28.000,01 a €</t>
  </si>
  <si>
    <t>Da € 55.000,01 a €</t>
  </si>
  <si>
    <t>Oltre € 75.000</t>
  </si>
  <si>
    <t>Calcolo Irpef</t>
  </si>
  <si>
    <t>Reddito non superiore a € 15.000</t>
  </si>
  <si>
    <t>Reddito non superiore a € 28.000</t>
  </si>
  <si>
    <t>Reddito non superiore a € 55.000</t>
  </si>
  <si>
    <t>Reddito non superiore a € 75.000</t>
  </si>
  <si>
    <t>Reddito superiore a € 75.000</t>
  </si>
  <si>
    <t>Detrazioni sul reddito dei pensionati di età inferiore a 75 anni</t>
  </si>
  <si>
    <t>Fino a € 7.500</t>
  </si>
  <si>
    <t>Fino a € 15.000</t>
  </si>
  <si>
    <t>Fino a € 55.000</t>
  </si>
  <si>
    <t>Detrazione</t>
  </si>
  <si>
    <t>Detrazioni per carichi di famiglia</t>
  </si>
  <si>
    <t>Calcolo deduzione per familiari a carico</t>
  </si>
  <si>
    <t>(un familiare è a carico se il suo reddito annuo non supera € 2.840,51)</t>
  </si>
  <si>
    <t>Sezione A</t>
  </si>
  <si>
    <t>Completare se nel nucleo familiare ci sono entrambi i genitori:</t>
  </si>
  <si>
    <t>Numero dei figli a carico</t>
  </si>
  <si>
    <t>Se ci sono minori di tre anni indicare il numero</t>
  </si>
  <si>
    <t>Se ci sono portatori di handicap indicare il numero</t>
  </si>
  <si>
    <t>Altri familiari a carico</t>
  </si>
  <si>
    <t>Sezione B</t>
  </si>
  <si>
    <t>Completare se nel nucleo familiare c'è un solo genitore:</t>
  </si>
  <si>
    <t>(nubile, celibe, vedovi, separati con figli a totale loro carico)</t>
  </si>
  <si>
    <t>Indicare il numero:</t>
  </si>
  <si>
    <t>Percentuale</t>
  </si>
  <si>
    <t>Detrazione per il coniuge</t>
  </si>
  <si>
    <t>Detrazione per i figli</t>
  </si>
  <si>
    <t>Detrazione per altri familiari</t>
  </si>
  <si>
    <t>correttivo</t>
  </si>
  <si>
    <t>Detrazione per coniuge a carico</t>
  </si>
  <si>
    <t>Fino a € 40.000</t>
  </si>
  <si>
    <t>Fino a € 80.000</t>
  </si>
  <si>
    <t>Di essi sono minori di tre anni per mesi</t>
  </si>
  <si>
    <t>Di essi sono portatori di handicap</t>
  </si>
  <si>
    <t>Numero di altri familiari a carico</t>
  </si>
  <si>
    <t>Limite di reddito</t>
  </si>
  <si>
    <t>Maggiorazioni della detrazione</t>
  </si>
  <si>
    <t>Calcolo detrazione</t>
  </si>
  <si>
    <t>Detrazione per familiari a carico</t>
  </si>
  <si>
    <t>Nucleo con un solo genitore</t>
  </si>
  <si>
    <t>Il primo figlio è minore di tre anni</t>
  </si>
  <si>
    <t>Il primo figlio è portatore di handicap</t>
  </si>
  <si>
    <t>Altri figli minori di tre anni</t>
  </si>
  <si>
    <t>Altri figli portatori di handicap</t>
  </si>
  <si>
    <t>Detrazione per il primo figlio</t>
  </si>
  <si>
    <t>Detrazione per gli altri figli oltre il primo</t>
  </si>
  <si>
    <t xml:space="preserve">   dei minori di tre anni esluso il primo figlio</t>
  </si>
  <si>
    <t>Detrazione per carichi di famiglia</t>
  </si>
  <si>
    <t>Detrazione sul reddito</t>
  </si>
  <si>
    <t>Scelta detrazione primo figlio/detrazione coniuge</t>
  </si>
  <si>
    <t xml:space="preserve">Totale detrazioni </t>
  </si>
  <si>
    <t>annua</t>
  </si>
  <si>
    <t xml:space="preserve">   dei figli a carico compreso il maggiore</t>
  </si>
  <si>
    <t xml:space="preserve">   dei portatori di handicap esluso il primo figlio</t>
  </si>
  <si>
    <t>con tred.</t>
  </si>
  <si>
    <t>senza tred.</t>
  </si>
  <si>
    <t>FASCE</t>
  </si>
  <si>
    <t xml:space="preserve">Collaboratore </t>
  </si>
  <si>
    <t xml:space="preserve">Assistenti </t>
  </si>
  <si>
    <t>Coordinatore</t>
  </si>
  <si>
    <t>Docenti</t>
  </si>
  <si>
    <t>ITP - Docenti</t>
  </si>
  <si>
    <t>Docenti laur.</t>
  </si>
  <si>
    <t>scolastico</t>
  </si>
  <si>
    <t>amministrativi</t>
  </si>
  <si>
    <t>amministrativo</t>
  </si>
  <si>
    <t>diplomati sc.</t>
  </si>
  <si>
    <t>scuola media</t>
  </si>
  <si>
    <t>secondaria</t>
  </si>
  <si>
    <t>e tecnici</t>
  </si>
  <si>
    <t>e tecnico</t>
  </si>
  <si>
    <t>elementare</t>
  </si>
  <si>
    <t>superiore</t>
  </si>
  <si>
    <t xml:space="preserve">I.I.S. </t>
  </si>
  <si>
    <t>ANZ.</t>
  </si>
  <si>
    <t>Nucleo con entrambi i genitori</t>
  </si>
  <si>
    <t>Inserire o modificare i dati nelle celle color paglierino</t>
  </si>
  <si>
    <t>Irpef mensile lorda e netta</t>
  </si>
  <si>
    <t>Irpef annua lorda e netta</t>
  </si>
  <si>
    <t>lorda</t>
  </si>
  <si>
    <t>netta</t>
  </si>
  <si>
    <t xml:space="preserve">Numero dei figli a carico </t>
  </si>
  <si>
    <t>Pensione lorda annua e netta mensile</t>
  </si>
  <si>
    <t>CON APPLICAZIONE BIENNIO CONTRATTUALE 2008/09</t>
  </si>
  <si>
    <t>POSIZIONI STIPENDIALI MENSILI DAL 1/1/2009</t>
  </si>
  <si>
    <t>A</t>
  </si>
  <si>
    <t>B</t>
  </si>
  <si>
    <t>B'</t>
  </si>
  <si>
    <t>C=(B'-B)</t>
  </si>
  <si>
    <t>C'=(A-B')</t>
  </si>
  <si>
    <t>RETRIBUZIONE PENSIONABILE</t>
  </si>
  <si>
    <t>ALLA CESSAZIONE</t>
  </si>
  <si>
    <t>minapoli software</t>
  </si>
  <si>
    <r>
      <t xml:space="preserve">Anzianità utile al 31/12/92 arrotondata in anni e mesi: </t>
    </r>
    <r>
      <rPr>
        <b/>
        <sz val="10"/>
        <rFont val="Arial"/>
        <family val="2"/>
      </rPr>
      <t>verificare ed eventualmente correggere</t>
    </r>
    <r>
      <rPr>
        <sz val="10"/>
        <rFont val="Arial"/>
        <family val="0"/>
      </rPr>
      <t xml:space="preserve"> </t>
    </r>
  </si>
  <si>
    <t>Oltre</t>
  </si>
  <si>
    <t>Fino a</t>
  </si>
  <si>
    <t>%</t>
  </si>
  <si>
    <t>Importo</t>
  </si>
  <si>
    <t>Pensione interamente contributiva</t>
  </si>
  <si>
    <t>Stipendio mensile + IVC da controllare sul cedolino dello stipendio</t>
  </si>
  <si>
    <t>IVC</t>
  </si>
  <si>
    <t>Media ridotta 2011 =</t>
  </si>
  <si>
    <t>pagina 1:  rilevamento fascia di inquadramento e data conseguimento</t>
  </si>
  <si>
    <t>Anagrafica del dipendente</t>
  </si>
  <si>
    <t>Ente di appartenenza</t>
  </si>
  <si>
    <t>DATI DI DETTAGLIO DELLA RETRIBUZIONE</t>
  </si>
  <si>
    <t>Cognome</t>
  </si>
  <si>
    <t>BIANCHI</t>
  </si>
  <si>
    <t>Nome</t>
  </si>
  <si>
    <t>BIANCA</t>
  </si>
  <si>
    <t>Amm.ne appartenenza</t>
  </si>
  <si>
    <t>MINISTERO DELL'ISTRUZIONE, UNIVERSITA'</t>
  </si>
  <si>
    <t>Cod.</t>
  </si>
  <si>
    <t>Codice fiscale</t>
  </si>
  <si>
    <t>BNCBNCXXXXYYY</t>
  </si>
  <si>
    <t>E RICERCA - EX MPI</t>
  </si>
  <si>
    <t>Competenze fisse</t>
  </si>
  <si>
    <t>Data dt nascita</t>
  </si>
  <si>
    <t>Ufficio responsabile</t>
  </si>
  <si>
    <t>RTS di VARESE</t>
  </si>
  <si>
    <t>800100010125</t>
  </si>
  <si>
    <t>K05</t>
  </si>
  <si>
    <t>STIPENDIO TABELLARE scad. 12/ 2014</t>
  </si>
  <si>
    <t>N. partita</t>
  </si>
  <si>
    <t>15151515</t>
  </si>
  <si>
    <t>Ufficio di servizio</t>
  </si>
  <si>
    <t>431 - I.C. XXXX DI BUSTO ARSIZIO</t>
  </si>
  <si>
    <t>750/266</t>
  </si>
  <si>
    <t>IIS CONGLOBATA K05</t>
  </si>
  <si>
    <t>Posizione giuridico -economica</t>
  </si>
  <si>
    <t>888/K56</t>
  </si>
  <si>
    <t>IND. VACANZA CONTRATTUALE</t>
  </si>
  <si>
    <t>Inquadr.:</t>
  </si>
  <si>
    <t>DOC. SC. ELEM/MATERNA</t>
  </si>
  <si>
    <t xml:space="preserve">Tipo di rapporto Tempo indeterminato </t>
  </si>
  <si>
    <t>KA05</t>
  </si>
  <si>
    <t>Tipo Liquidaz.</t>
  </si>
  <si>
    <t>TFS</t>
  </si>
  <si>
    <t>ALTRI ASSEGNI</t>
  </si>
  <si>
    <t>Esempio</t>
  </si>
  <si>
    <t>Attuali fasce e anni di permanenza</t>
  </si>
  <si>
    <t>Scadenza indicata</t>
  </si>
  <si>
    <t>fascia</t>
  </si>
  <si>
    <t>L'indennità integrativa speciale pari ad euro</t>
  </si>
  <si>
    <t>è utile per il calcolo della quota A ma non è maggiorabile</t>
  </si>
  <si>
    <t>Passaggio alla successiva</t>
  </si>
  <si>
    <t>La retribuzione professionale docenti pari ad euro</t>
  </si>
  <si>
    <t>è retribuzione accessoria</t>
  </si>
  <si>
    <t>Anni di permanenza</t>
  </si>
  <si>
    <t>Maturazione attuale classe</t>
  </si>
  <si>
    <t>La retribuzione accessoria non costituisce retribuzione pensionabile per il calcolo della quota A</t>
  </si>
  <si>
    <t>Costituisce retribuzione pensionabile per il calcolo della media per la quota B solo per la parte eccedente la maggiorazione del 18%.</t>
  </si>
  <si>
    <t>-</t>
  </si>
  <si>
    <r>
      <t xml:space="preserve">Cassa previdenza </t>
    </r>
    <r>
      <rPr>
        <b/>
        <sz val="8"/>
        <rFont val="Arial"/>
        <family val="2"/>
      </rPr>
      <t>INPDAP</t>
    </r>
    <r>
      <rPr>
        <sz val="8"/>
        <rFont val="Arial"/>
        <family val="2"/>
      </rPr>
      <t xml:space="preserve">    Adesione a prev, compl. </t>
    </r>
    <r>
      <rPr>
        <b/>
        <sz val="8"/>
        <rFont val="Arial"/>
        <family val="2"/>
      </rPr>
      <t>NO</t>
    </r>
  </si>
  <si>
    <t>pagina 2:  rilevamento retribuzione pensionabile</t>
  </si>
  <si>
    <t>Lo stipendio base maggiorabile del 18% è pari ad euro</t>
  </si>
  <si>
    <t>In caso di part-time indicare le ore nella colonna M.</t>
  </si>
  <si>
    <t>converti in €</t>
  </si>
  <si>
    <t>Nota</t>
  </si>
  <si>
    <t xml:space="preserve">     part-time</t>
  </si>
  <si>
    <t>Anno</t>
  </si>
  <si>
    <t>Fascia</t>
  </si>
  <si>
    <t xml:space="preserve">Stipendio </t>
  </si>
  <si>
    <t>Altri ass.</t>
  </si>
  <si>
    <t>Retribuz.</t>
  </si>
  <si>
    <t>Indennità</t>
  </si>
  <si>
    <t>Magg. 18%</t>
  </si>
  <si>
    <t>Retr. acc.</t>
  </si>
  <si>
    <t>Orario</t>
  </si>
  <si>
    <t>accessoria</t>
  </si>
  <si>
    <t>Access.</t>
  </si>
  <si>
    <t>Retr. access.</t>
  </si>
  <si>
    <t xml:space="preserve">Coefficiente </t>
  </si>
  <si>
    <t>Montante ap</t>
  </si>
  <si>
    <t>Montante</t>
  </si>
  <si>
    <t>stip.</t>
  </si>
  <si>
    <t>magg.li</t>
  </si>
  <si>
    <t>magg.le</t>
  </si>
  <si>
    <t>int. spec.</t>
  </si>
  <si>
    <t>totale</t>
  </si>
  <si>
    <t>ricevuta</t>
  </si>
  <si>
    <t>sett.le</t>
  </si>
  <si>
    <t>fatto</t>
  </si>
  <si>
    <t>non continuativa</t>
  </si>
  <si>
    <t>continuat.</t>
  </si>
  <si>
    <t>intera</t>
  </si>
  <si>
    <t>rivalutazione</t>
  </si>
  <si>
    <t>rivalutato</t>
  </si>
  <si>
    <t>anno corr.</t>
  </si>
  <si>
    <t>al 31 dic</t>
  </si>
  <si>
    <t>GEN</t>
  </si>
  <si>
    <t>FEB</t>
  </si>
  <si>
    <t>MAR</t>
  </si>
  <si>
    <t>APR</t>
  </si>
  <si>
    <t>MAG</t>
  </si>
  <si>
    <t>GIU</t>
  </si>
  <si>
    <t>LUG</t>
  </si>
  <si>
    <t>AGO</t>
  </si>
  <si>
    <t>SET</t>
  </si>
  <si>
    <t>OTT</t>
  </si>
  <si>
    <t>NOV</t>
  </si>
  <si>
    <t>DIC</t>
  </si>
  <si>
    <t>Montante maturato alla cessazione</t>
  </si>
  <si>
    <t>anno</t>
  </si>
  <si>
    <t>TOTALE</t>
  </si>
  <si>
    <t>retr ord</t>
  </si>
  <si>
    <t>tredicesima</t>
  </si>
  <si>
    <t xml:space="preserve">Coefficienti di trasformazione per età </t>
  </si>
  <si>
    <t>Coefficiente di trasformazione</t>
  </si>
  <si>
    <t>Data di cessazione convertita in mesi</t>
  </si>
  <si>
    <t>Età in mesi alla cessazione</t>
  </si>
  <si>
    <t>Data di nascita</t>
  </si>
  <si>
    <t>Data della cessazione</t>
  </si>
  <si>
    <t>Anzianità utile alla pensione alla data del 31 dicembre 2011</t>
  </si>
  <si>
    <t>Età anni</t>
  </si>
  <si>
    <t>e mesi</t>
  </si>
  <si>
    <t>Data di nascita convertita in mesi</t>
  </si>
  <si>
    <t>8/12mi</t>
  </si>
  <si>
    <t>Età minima richiesta in mesi</t>
  </si>
  <si>
    <t>Età effettiva dell'interessato</t>
  </si>
  <si>
    <t>Penalizzazione mensile fascia 1%</t>
  </si>
  <si>
    <t>Penalizzazione mensile fascia 2%</t>
  </si>
  <si>
    <t>Montante per il calcolo contributivo dal 1/1/2012 in poi</t>
  </si>
  <si>
    <t>Mesi per calcolo decurtazione</t>
  </si>
  <si>
    <t>Penalizzazione totale oltre 24 mesi</t>
  </si>
  <si>
    <t>Conferma manuale della decurtazione</t>
  </si>
  <si>
    <t>Mesi per decurtazione oltre 24</t>
  </si>
  <si>
    <t>Penalizzazione fascia fino a 24</t>
  </si>
  <si>
    <t>Mesi per decurtazione fino a 24</t>
  </si>
  <si>
    <t>Penalizzazione</t>
  </si>
  <si>
    <t>Pensione di vecchiaia:</t>
  </si>
  <si>
    <t>Pensione anticipata:</t>
  </si>
  <si>
    <t>E' la situazione di chi possiede una posizione previdenziale con contributi versati esclusivamente dopo il 31/12/95.</t>
  </si>
  <si>
    <t>Pensionamenti d'ufficio</t>
  </si>
  <si>
    <t>NO</t>
  </si>
  <si>
    <t>Età:</t>
  </si>
  <si>
    <t xml:space="preserve">Coefficiente PIL di </t>
  </si>
  <si>
    <t>rivalutaz. montante</t>
  </si>
  <si>
    <t>Retribuzione accessoria fissa mensile colonna J</t>
  </si>
  <si>
    <t>calcola</t>
  </si>
  <si>
    <t>Verificare ed eventualmente modificare il contenuto delle celle color paglierino secondo le note esplicative segnalate dall'angolo rosso</t>
  </si>
  <si>
    <t xml:space="preserve">Quadro A - Retribuzione ordinaria fissa mensile maggiorabile del 18% (colonne C e D) </t>
  </si>
  <si>
    <t>l. 335/95</t>
  </si>
  <si>
    <t>D</t>
  </si>
  <si>
    <t>MONTANTE CONTRIBUTIVO</t>
  </si>
  <si>
    <t>IRPEF (imposta sul reddito)</t>
  </si>
  <si>
    <t>Tipologia di nucleo familiare</t>
  </si>
  <si>
    <t>Con entrambi i genitori</t>
  </si>
  <si>
    <t>Con un solo genitore</t>
  </si>
  <si>
    <t xml:space="preserve">Percentuale della detrazione </t>
  </si>
  <si>
    <t>Indicare se il coniuge è fiscalmente a carico</t>
  </si>
  <si>
    <t>Opzione</t>
  </si>
  <si>
    <t>SI</t>
  </si>
  <si>
    <t>CALCOLO DETRAZIONI</t>
  </si>
  <si>
    <t>Nucleo familiare: 1 - due genitori    2 - un genitore</t>
  </si>
  <si>
    <t>8)</t>
  </si>
  <si>
    <t>3)</t>
  </si>
  <si>
    <t>Media al 31/8/2013 =</t>
  </si>
  <si>
    <t>TETTI 2013</t>
  </si>
  <si>
    <t>Pensione con calcolo retributivo fino al 31/12/2011</t>
  </si>
  <si>
    <t>QUADRO II TRATTAMENTO DIRETTO</t>
  </si>
  <si>
    <t>SERVIZIO</t>
  </si>
  <si>
    <t>al 31/12/2011</t>
  </si>
  <si>
    <t>ANNI</t>
  </si>
  <si>
    <t>MESI</t>
  </si>
  <si>
    <t>vedi nota a</t>
  </si>
  <si>
    <t>fianco</t>
  </si>
  <si>
    <t>al 31/12/1992</t>
  </si>
  <si>
    <t>(COEFF.</t>
  </si>
  <si>
    <t>D.P.R. 1092/73)</t>
  </si>
  <si>
    <t>al 31/12/1997</t>
  </si>
  <si>
    <t>DIFF. COEFF.</t>
  </si>
  <si>
    <t>1992 -1997</t>
  </si>
  <si>
    <t>1997-31/12/2011</t>
  </si>
  <si>
    <t>COEFFICIENTE TAB 'A'</t>
  </si>
  <si>
    <t>L. 335/95</t>
  </si>
  <si>
    <t>Nota: (COEFF.</t>
  </si>
  <si>
    <t>D.P.R- 1092/73, Art. 17</t>
  </si>
  <si>
    <t>l. 724/94 e c. 19 art. 2</t>
  </si>
  <si>
    <t>RETRIBUZIONE MEDIA</t>
  </si>
  <si>
    <t>2) 2')</t>
  </si>
  <si>
    <t xml:space="preserve">PARTE RETRIBUTIVA DELLA </t>
  </si>
  <si>
    <t>PENSIONE</t>
  </si>
  <si>
    <t>7) = (4 + 5)</t>
  </si>
  <si>
    <t>1/1/2012 IN POI</t>
  </si>
  <si>
    <t>E)</t>
  </si>
  <si>
    <t>PARTE RETRIBUTIVA</t>
  </si>
  <si>
    <t>PERC. PENALIZZAZIONE SU</t>
  </si>
  <si>
    <t>PRIMA QUOTA</t>
  </si>
  <si>
    <t>DI PENSIONE</t>
  </si>
  <si>
    <t>4) = (1 x B)</t>
  </si>
  <si>
    <t>PENALIZZATA</t>
  </si>
  <si>
    <t>7'') = (7' + 6)</t>
  </si>
  <si>
    <t>7') = 7 - (7 x  E%)</t>
  </si>
  <si>
    <t>SECONDA QUOTA</t>
  </si>
  <si>
    <t>5) = (2 x C) + 2' x C')</t>
  </si>
  <si>
    <t>SOMMA PARTE RETRIB. PENALIZ.</t>
  </si>
  <si>
    <t>E TERZA QUOTA DI PENSIONE</t>
  </si>
  <si>
    <t xml:space="preserve">TERZA QUOTA </t>
  </si>
  <si>
    <t>6) = (3 x D)</t>
  </si>
  <si>
    <t>ARROTONDATA</t>
  </si>
  <si>
    <t>Settore A</t>
  </si>
  <si>
    <t>Settore B</t>
  </si>
  <si>
    <t>Settore C</t>
  </si>
  <si>
    <t>GUIDA ALLA LETTURA DELLA DETERMINA</t>
  </si>
  <si>
    <t>ABCD6789</t>
  </si>
  <si>
    <t>Sez.ne</t>
  </si>
  <si>
    <t>Anzianita contributiva al 31/12/2011 soggetta al calcolo retributivo e percentuale della retribuzione di riferimento corrispondente (0,79100 = 79,10%)</t>
  </si>
  <si>
    <t>EFGH6789</t>
  </si>
  <si>
    <t>Anzianita contributiva al 31/12/1992 per il calcolo della quota A e percentuale da applicare alla retribuzione in godimento alla cessazione (0,44900 = 44,90%)</t>
  </si>
  <si>
    <t>IJKL6789</t>
  </si>
  <si>
    <t>Anzianita contributiva al 31/12/1997 e percentuale corrispondente (0,53900 = 53,90%)</t>
  </si>
  <si>
    <t>MN6789</t>
  </si>
  <si>
    <t>Differenza percentuale del periodo 1/1/93 - 31/12/97 da applicare alla retribuzione media degli ultimi 10 anni per il calcolo della quota B1 (0,09000 = 9%)</t>
  </si>
  <si>
    <t>OP6789</t>
  </si>
  <si>
    <t>Differenza percentuale del periodo 1/1/98 - 31/12/2011 da applicare alla retribuzione media ridotta degli ultimi 10 anni per il calcolo della quota B2 (0,25200 = 25,20%)</t>
  </si>
  <si>
    <t>QRST6789</t>
  </si>
  <si>
    <t>Anno cessazione</t>
  </si>
  <si>
    <t>Fascia maturata</t>
  </si>
  <si>
    <t>Anno passaggio</t>
  </si>
  <si>
    <t>Codice di ricerca</t>
  </si>
  <si>
    <t>Importo ad personam maggiorabile del 18%</t>
  </si>
  <si>
    <t>Retribuzione maggiorabile del 18%</t>
  </si>
  <si>
    <t>Maggiorazione</t>
  </si>
  <si>
    <t>Indennità integrativa speciale annusa</t>
  </si>
  <si>
    <t>Anzianità pensionistica al 31/12/2011 arrotondata in anni e mesi</t>
  </si>
  <si>
    <t>Anz. 31/12/11 in gg</t>
  </si>
  <si>
    <t>Giorni residui</t>
  </si>
  <si>
    <t>Aliquota percentuale maturata al 31/12/2011 e relativo coefficiente</t>
  </si>
  <si>
    <t>Aliquota A: &gt;15</t>
  </si>
  <si>
    <t>Aliquota B: &lt;15</t>
  </si>
  <si>
    <t>Scelta</t>
  </si>
  <si>
    <t>Prima quota di pensione</t>
  </si>
  <si>
    <t>Anz. 31/12/92 in gg</t>
  </si>
  <si>
    <t>Aliquota percentuale maturata al 31/12/92 e relativo coefficiente</t>
  </si>
  <si>
    <t>Anzianità pensionistica al 31/12/92 arrotondata in anni e mesi</t>
  </si>
  <si>
    <t>Prima quota di pensione fino al 31/12/92</t>
  </si>
  <si>
    <t>Seconda quota di pensione</t>
  </si>
  <si>
    <t>Coefficiente di capitalizzazione riferito all'età per il calcolo della quota contributiva dal 1/1/2012 alla cessazione.</t>
  </si>
  <si>
    <t>Retribuzione media degli ultimi 10 anni delle retribuzioni rivalutate</t>
  </si>
  <si>
    <t>Media retr. magg.le</t>
  </si>
  <si>
    <t>Ind. Int. Spec. rival.</t>
  </si>
  <si>
    <t>Media decennale</t>
  </si>
  <si>
    <t>media</t>
  </si>
  <si>
    <t>Anni anz. 31/12/97</t>
  </si>
  <si>
    <t>Differenza reltiva al periodo 1/1/93-31/12/97</t>
  </si>
  <si>
    <t>Quota di pensione relativa al periodo 1/1/93 - 31/12/97</t>
  </si>
  <si>
    <t>Aliquota percentuale e coefficiente dal 1/1/98 alla cessazione</t>
  </si>
  <si>
    <t>Aliquota percentuale maturata al 31/12/97 e relativo coefficiente</t>
  </si>
  <si>
    <t>Quota di pensione relativa al periodo 1/1/98 - 31/12/2011</t>
  </si>
  <si>
    <t>Decurtazione ai sensi del comma 10 dell'art. 24 della legge 214/11</t>
  </si>
  <si>
    <t>Età in anni e mesi alla cessazione</t>
  </si>
  <si>
    <t>Percentuale da applicare / Penalizzazione</t>
  </si>
  <si>
    <t>Seconda quota di pensione dal 1/1/93 al 31/12/2011</t>
  </si>
  <si>
    <t>Terza quota di pensione  (contributiva)</t>
  </si>
  <si>
    <t>Pensione annua lorda (somma delle tre quote)</t>
  </si>
  <si>
    <t>Pensione mensile lorda (un dodicesimo)</t>
  </si>
  <si>
    <t xml:space="preserve">PERSONALE DELLA SCUOLA - CALCOLO PENSIONE </t>
  </si>
  <si>
    <t>Fascia retributiva alla cessazione</t>
  </si>
  <si>
    <t xml:space="preserve">Retribuzione pensionabile alla cessazione per calcolo quota A </t>
  </si>
  <si>
    <t>Quota di pensione fino al 31/12/11 soggetta al calcolo retributivo</t>
  </si>
  <si>
    <t>Prima e seconda quota di pensione con decurtazione</t>
  </si>
  <si>
    <t>ABCDda11a16</t>
  </si>
  <si>
    <t>Retribuzione utile in godimento alla cessazione comprensiva di maggiorazione ed IIS</t>
  </si>
  <si>
    <t>EFGHda11a16</t>
  </si>
  <si>
    <t>Retribuzione pensionabile media degli ultimi 10 anni: in E14 nella misura intera, in E16 nella misura ridotta se supera il tetto relativo all'anno della cessazione.</t>
  </si>
  <si>
    <t>IJKLda11a16</t>
  </si>
  <si>
    <t>Montante contributivo maturato dal 1/1/2012 alla cessazione al quale applicare il coefficiente di capitalizzazione per il calcolo della terza quota.</t>
  </si>
  <si>
    <t>MNOPda11a16</t>
  </si>
  <si>
    <t>Prima quota di pensione calcolata sull'anzianità fino al 31/12/92.</t>
  </si>
  <si>
    <t>QRSTda11a16</t>
  </si>
  <si>
    <t>Seconda quota di pensione calcolata sull'anzianità dal 1/1/93 al 31/12/2011.</t>
  </si>
  <si>
    <t>UVWXda11a16</t>
  </si>
  <si>
    <t>Terza quota di pensione dal 1/1/2012 alla cessazione calcolata col sistema contributvo.</t>
  </si>
  <si>
    <t>EFGHda18a23</t>
  </si>
  <si>
    <t>Pensione fino al 31/12/2011 calcolata col metodo retributivo eventualmente soggetta a deecurtazione per i minori di 62 anni.</t>
  </si>
  <si>
    <t>IJKLda18a23</t>
  </si>
  <si>
    <t>Percentuale decurtazione applicata</t>
  </si>
  <si>
    <t>Pensione fino al 31/12/2011 eventualmente decurtata ai minori di 62 anni.</t>
  </si>
  <si>
    <t>MNOPda18a23</t>
  </si>
  <si>
    <t>QRSTda18a23</t>
  </si>
  <si>
    <t>Pensione annua lorda dovuta</t>
  </si>
  <si>
    <t>UVWXda18a23</t>
  </si>
  <si>
    <t>Casella inutile: viene riportato l'importo della casella precedente senza alcun arrotondamento.</t>
  </si>
  <si>
    <t>Ma è rimasta la casella in attesa che la vecchia norma venga riscritta e adeguata. Sono passati 11 anni e non è successo nulla! E' ancora lì!</t>
  </si>
  <si>
    <t>Nota: Una vecchia norma prevedeva l'arrotondamento alle 100 lire. Con l'avvento dell'euro questo arrotondamento non si è potuto più fare.</t>
  </si>
  <si>
    <t>DETERMINA CON IL CALCOLO DELLA PENSIONE CHE IL PENSIONATO RICEVE  DALL'INPS ex-INPDAP</t>
  </si>
  <si>
    <t>Personale della scuola e dipendenti statali</t>
  </si>
  <si>
    <t>Anni</t>
  </si>
  <si>
    <t>Mesi</t>
  </si>
  <si>
    <t>Aliquota</t>
  </si>
  <si>
    <t>aa/ms</t>
  </si>
  <si>
    <t>ALIQUOTE DPR 1092/73 PER IL CALCOLO DELLA PENSIONE</t>
  </si>
  <si>
    <t>oppure (1)</t>
  </si>
  <si>
    <t>Dovrebbe essere sbloccato entro il 2013, come già avvenuto per il 2010</t>
  </si>
  <si>
    <t>1 - Per effetto della legge 122/10, lo scatto maturato nel 2012 è bloccato.</t>
  </si>
  <si>
    <t>spettiva.</t>
  </si>
  <si>
    <t>e il 2011,  il prossimo passaggio può variare  in funzione di questa pro-</t>
  </si>
  <si>
    <t>Fascia indicata da maggio 2013</t>
  </si>
  <si>
    <t>Retribuzione annua senza IIS, ma comprensiva di indennità vacanza contr.le</t>
  </si>
  <si>
    <t>vedi note</t>
  </si>
  <si>
    <t>C25 e C27</t>
  </si>
  <si>
    <t xml:space="preserve">Fascia maturata </t>
  </si>
  <si>
    <t>Anno ultimo pass.gio</t>
  </si>
  <si>
    <t>Differenza</t>
  </si>
  <si>
    <t>con18%</t>
  </si>
  <si>
    <t>surplus</t>
  </si>
  <si>
    <t xml:space="preserve">Correttivo </t>
  </si>
  <si>
    <t xml:space="preserve">Ai sensi del comma 2 dell'art. 1 del decreto legge n. 90 del 24/6/2014 non è più possibile chiedere il prolungamento </t>
  </si>
  <si>
    <t>di servizio di due anni.</t>
  </si>
  <si>
    <t>E' facoltà dell'Amministrazione disporli o meno.</t>
  </si>
  <si>
    <t>Corrett. blocco 2013</t>
  </si>
  <si>
    <t>Media ridotta  ai sensi del c. 1 dell'art. 12 del DPR 503/92</t>
  </si>
  <si>
    <t>Retribuzione media degli ultimi 10 anni ridotta se supera il tetto L. 67/88</t>
  </si>
  <si>
    <t>Anzianità in anni interi ai fini dello stipendio alla cessazione (2013 bloccato)</t>
  </si>
  <si>
    <t>La legge n. 190 del 23/12/2014 (legge di stabilità) ha modificato il calcolo della pensione introdotto dalla riforma Fornero.</t>
  </si>
  <si>
    <t>Sesso</t>
  </si>
  <si>
    <t>M</t>
  </si>
  <si>
    <t>F</t>
  </si>
  <si>
    <t>Anno della cessazione</t>
  </si>
  <si>
    <t>Calcolo interamente retributivo ai sensi del comma 707 della legge 190/14 (legge di stabilità)</t>
  </si>
  <si>
    <t>Pensione di vecchiaia</t>
  </si>
  <si>
    <t>Cessazione dal servizio per:</t>
  </si>
  <si>
    <t>Requisiti maturati al 31/12/2011</t>
  </si>
  <si>
    <t>Pensione anticipata</t>
  </si>
  <si>
    <t>Aliquota percentuale maturata alla cessazione</t>
  </si>
  <si>
    <t>Quota di pensione relativa al periodo 1/1/98 - cessazione</t>
  </si>
  <si>
    <t>Seconda quota di pensione dal 1/1/93 alla cessazione</t>
  </si>
  <si>
    <t>Stampa prospetto</t>
  </si>
  <si>
    <t>Modalità: Doppio calcolo ai sensi del comms 707 della legge 190/14</t>
  </si>
  <si>
    <t>Retribuzione pensionabile alla cessazione</t>
  </si>
  <si>
    <t xml:space="preserve">Retribuzione media degli ultimi 10 anni </t>
  </si>
  <si>
    <t>Anzianità pensionistica al 31/12/92 e aliquota</t>
  </si>
  <si>
    <t>Anzianità pensionistica al 31/12/97 e aliquota</t>
  </si>
  <si>
    <t>Calcolo riforma Fornero</t>
  </si>
  <si>
    <t>Quota di pensione periodo 1/1/93 - 31/12/97</t>
  </si>
  <si>
    <t>Media ridotta  (comma 1 art. 12 DPR 503/92)</t>
  </si>
  <si>
    <t>Aliquota percentuale dal 1/1/98 al 31/12/11</t>
  </si>
  <si>
    <t>Quota di pensione periodo 1/1/98 - 31/12/11</t>
  </si>
  <si>
    <t>Seconda quota di pensione dal 1/1/93 al 31/12/11</t>
  </si>
  <si>
    <t xml:space="preserve">                Calcolo interamente retributivo comma 707 legge 190/14</t>
  </si>
  <si>
    <t>Quota A fino al 31/12/92</t>
  </si>
  <si>
    <t>Quota B1 periodo 1/1/93-31/12/97</t>
  </si>
  <si>
    <t>Quota B2 - media ridotta e aliquota</t>
  </si>
  <si>
    <t>Quota B2 dal 1/1/98 alla cessazione</t>
  </si>
  <si>
    <t>Aliquota percentuale e coefficiente dal 1/1/98 al 31/12/2011</t>
  </si>
  <si>
    <t>Pensione mensile lorda</t>
  </si>
  <si>
    <t>Irpef lorda e netta</t>
  </si>
  <si>
    <t>Detrazioni per il reddito e per familiari</t>
  </si>
  <si>
    <t>PENSIONE MENSILE NETTA</t>
  </si>
  <si>
    <t>Doppio calcolo ai sensi del comma 707 dell'art. 1 della legge 190/15</t>
  </si>
  <si>
    <t>leggi nota</t>
  </si>
  <si>
    <t>Importo mensile di altro assegno maggiorabile del 18%</t>
  </si>
  <si>
    <t>Anz. Valorizz.le</t>
  </si>
  <si>
    <t>Se la macro è bloccata, sbloccarla</t>
  </si>
  <si>
    <t>oppure stampare dal menu File</t>
  </si>
  <si>
    <t>BIANCHI BIANCA</t>
  </si>
  <si>
    <t>La norma non riguarda quanti non avevano 18 anni di anzianità al 31/12/95</t>
  </si>
  <si>
    <t>Data di nascita /Età</t>
  </si>
  <si>
    <t xml:space="preserve">66 anni e 7 mesi di età (vale per uomini e donne) unitamente ad almeno 20 anni di anzianità contributiva </t>
  </si>
  <si>
    <t>Donne : 41 anni e 10 mesi di anzianità contributiva</t>
  </si>
  <si>
    <t xml:space="preserve">Uomini: 42 anni e 10 mesi di anzianità contributiva </t>
  </si>
  <si>
    <t>Opzione contributiva nota come opzione donna</t>
  </si>
  <si>
    <t>Importante: per quanti ricorrono alla totalizzazione non onerosa in sostituzione della legge 29/79, la finestra di uscita è</t>
  </si>
  <si>
    <t>spostata di un anno: 1° settembre dell'anno successivo a quello in cui si matura l'età per la pensione di vecchiaia.</t>
  </si>
  <si>
    <t>spostata di un anno: 1° settembre dell'anno successivo a quello in cui si matura l'anzianità minima richiesta.</t>
  </si>
  <si>
    <t>DSGA</t>
  </si>
  <si>
    <t>DSGA- Direttori Amm.</t>
  </si>
  <si>
    <t>Docenti elem/materna</t>
  </si>
  <si>
    <t>DATI ISTAT PER LA RIVALUTAZIONE 2016</t>
  </si>
  <si>
    <t>Dir. Amm.</t>
  </si>
  <si>
    <t>DSGA- Dir. Amm.</t>
  </si>
  <si>
    <t>Questo foglio di calcolo  è diretto al personale della scuola che aveva almeno 18 anni di anzianità al 31/12/1995.</t>
  </si>
  <si>
    <t xml:space="preserve">Basta inserire l'anzianità retributiva alla cessazione in quanto è disponibile un database con la corrispondente retribuzione </t>
  </si>
  <si>
    <t>media degli ultimi 10 anni.</t>
  </si>
  <si>
    <t>Sono esclusi dall'obbligo di possedere questi requisiti quanti avevano maturato quota 96 al 31/12/2011</t>
  </si>
  <si>
    <t>vigenti dal 1/1/2016 al 31/12/2018</t>
  </si>
  <si>
    <t>Importante!</t>
  </si>
  <si>
    <t>al 31/12/2012</t>
  </si>
  <si>
    <t>al 31/12/2013</t>
  </si>
  <si>
    <t>al 31/12/2014</t>
  </si>
  <si>
    <t>al 31/12/2015</t>
  </si>
  <si>
    <t>Ai sensi del comma 155 della legge di stabilità per il 2016, possono accedere alla pensione le donne che maturano i requi-</t>
  </si>
  <si>
    <t>siti di anni 57 e mesi 3 unitamente ad un'anzianità di 35 anni (ovvero aa. 34, mesi 11 e gg. 16) entro il 31/12/2015.</t>
  </si>
  <si>
    <t>Chi è in possesso dei requisiti potrà anche rinviare la cessazione dal servizio agli anni successivi (diritto acquisito).</t>
  </si>
  <si>
    <t>CON I.I.S. SCORPORATA - BIENNIO CONTRATTUALE 08/09 E IVC - INDICI AGGIORNATI AL 2016</t>
  </si>
  <si>
    <t>Calcolo secondo la riforma Fornero (art. 24 della legge 214 del 22/12/11)</t>
  </si>
  <si>
    <t>Pensione lorda mensile (un dodicesimo)</t>
  </si>
  <si>
    <t>Pensione lorda annua con calcolo interamente retributivo fino alla cessazione</t>
  </si>
  <si>
    <t>non è influente.</t>
  </si>
  <si>
    <t>Nel calcolo non si può tener conto della retribuzione accessoria (fondo di istituto) che di norma</t>
  </si>
  <si>
    <t>A - Pensione annua secondo la riforma Fornero</t>
  </si>
  <si>
    <t>B - Pensione annua interamente retributiva</t>
  </si>
  <si>
    <t>PENSIONE ANNUA DOVUTA (importo minore tra A e B)</t>
  </si>
  <si>
    <r>
      <t xml:space="preserve">Anzianità utile alla pensione alla cessazione: </t>
    </r>
    <r>
      <rPr>
        <b/>
        <sz val="10"/>
        <rFont val="Arial"/>
        <family val="2"/>
      </rPr>
      <t>verificare ed eventualmente correggere</t>
    </r>
  </si>
  <si>
    <t>Anzianità pensionistica alla cessazionea in anni e mesi senza arrotondamenti</t>
  </si>
  <si>
    <t>Anzianità utile alla cessazione e aliquota corrispondente</t>
  </si>
  <si>
    <t>(Retributivo fino al 31/12/2011 - contributivo dal 1/1/2012 alla cessazione)</t>
  </si>
  <si>
    <t>Terza quota di pensione  (contributiva) dal 1/1/2012 alla cessazione</t>
  </si>
  <si>
    <t>TETTI 2016</t>
  </si>
  <si>
    <t>Indici aggiornati marzo 2016</t>
  </si>
  <si>
    <t>Media ridotta</t>
  </si>
  <si>
    <t>(comma 1 dell'art. 12 del DPR 503/92)</t>
  </si>
  <si>
    <t>(L'aliquota massima può superare l'80% - incremento annuo 1,80%)</t>
  </si>
  <si>
    <t xml:space="preserve"> RETRIBUZIONE ANNUA DAL 2012 IN POI PER CALCOLO CONTRIBUTIVO DAL 1/1/2012 ALLA CESSAZIONE</t>
  </si>
  <si>
    <t xml:space="preserve">         quindi è nullo.  In effetti avrebbe dovuto essere negativo, ma è stato </t>
  </si>
  <si>
    <t xml:space="preserve">         stabilito  per legge che non può essere inferiore a 1.</t>
  </si>
  <si>
    <t xml:space="preserve">         (Comma 1 dell'art. 5 del d.l. 65 del 21/5/15 convertito nella legge n. 109 </t>
  </si>
  <si>
    <t xml:space="preserve">          del 17/7/15 - vedi circolare INPS n. 167 del 7/10/15)</t>
  </si>
  <si>
    <t xml:space="preserve">                Infatti il previsto recupero di quanto concesso lo scorso anno per  portare</t>
  </si>
  <si>
    <t>al 1/1/2013</t>
  </si>
  <si>
    <t>al 1/1/2014</t>
  </si>
  <si>
    <t>al 1/1/2015</t>
  </si>
  <si>
    <t>al 1/1/2016</t>
  </si>
  <si>
    <t>1 - Collaboratore scolastico</t>
  </si>
  <si>
    <t>2 - Assistente amministrativo/tecnico</t>
  </si>
  <si>
    <t>3 - Coordinatore amministrativo</t>
  </si>
  <si>
    <t>4 - Direttore amministrativo - DSGA</t>
  </si>
  <si>
    <t>5 - Insegnante scuola elementare e materna</t>
  </si>
  <si>
    <t>6 - Insegnante diplomato secondaria</t>
  </si>
  <si>
    <t>7 - Insegnante scuola media</t>
  </si>
  <si>
    <t>8 - Insegnante second. superiore</t>
  </si>
  <si>
    <t>(da maturare entro il 31/12/2017 per poter cessare dal servizio al 1/9/2017)</t>
  </si>
  <si>
    <t>entro il 31/12/2016 e valuterà se sono disponibili le risorse per autorizzare la cessazione nel 2017.</t>
  </si>
  <si>
    <t>a) pensione di vecchiaia con età di anni 66 e mesi 7 unitamente ad almeno 20 anni di anzianità;</t>
  </si>
  <si>
    <t>b) pensione di vecchiaia con età di anni 70 unitamente ad almeno 5 anni di anzianità.</t>
  </si>
  <si>
    <r>
      <t>a) Per limiti di età</t>
    </r>
    <r>
      <rPr>
        <sz val="12"/>
        <rFont val="Times New Roman"/>
        <family val="1"/>
      </rPr>
      <t xml:space="preserve">: per uomini e donne 66 anni e 7 mesi compiuti entro il 31/8/2017.  </t>
    </r>
  </si>
  <si>
    <t>b) Per quanti avevano maturato i requisiti allora vigenti al 31/12/2011, se compiono 65 anni entro il 31 agosto 2017.</t>
  </si>
  <si>
    <t>c) Per quanti entro il 31/8/2017 maturano la pensione anticipata (41/42 anni e 10 mesi) e compiono 65 anni.</t>
  </si>
  <si>
    <t>Sono disposti dal Capo di Istituto con sei mesi di preavviso, quindi entro il 28/2/2017.</t>
  </si>
  <si>
    <t>settembre 2016</t>
  </si>
  <si>
    <t>al 1/1/2017</t>
  </si>
  <si>
    <t>al 31/8/2017</t>
  </si>
  <si>
    <t>aggiornare nel 2017</t>
  </si>
  <si>
    <t>al 31/12/2016</t>
  </si>
  <si>
    <t>PENSIONE PERSONALE SCUOLA 2017</t>
  </si>
  <si>
    <t>NUOVI REQUISITI RICHIESTI NEL 2017</t>
  </si>
  <si>
    <t>L'anzianità minima è di 15 anni per coloro che avevano prestato attività lavorativa prima del 31/12/1992.</t>
  </si>
  <si>
    <t>Requisiti richiesti in regime di totalizzazione: anni 65 e mesi 7 di età unitamente a 20 anni di contributi.</t>
  </si>
  <si>
    <t xml:space="preserve">Entro il 30 settembre 2017 il ministero competente riceverà i dati sul numero di quanti maturano i requisiti  i requisiti </t>
  </si>
  <si>
    <r>
      <t>Per limiti di servizio:</t>
    </r>
    <r>
      <rPr>
        <sz val="12"/>
        <rFont val="Times New Roman"/>
        <family val="1"/>
      </rPr>
      <t xml:space="preserve"> al 31/8/2017 uomini anni 42 e mesi 10,  donne anni 41 e mesi 10. </t>
    </r>
  </si>
  <si>
    <t>Per pensionamenti con decorrenza diversa del 1/9/17 il margine di errore aumenta.</t>
  </si>
  <si>
    <t>dati istat 2016 - aggiornare 2017</t>
  </si>
  <si>
    <t xml:space="preserve">    per calcolo montante</t>
  </si>
  <si>
    <t xml:space="preserve">       Stipendio mensile</t>
  </si>
  <si>
    <t>Retribuzione</t>
  </si>
  <si>
    <t>B1</t>
  </si>
  <si>
    <t xml:space="preserve"> B - Retribuzione accessoria utile per calcolo media (colonna W) e per</t>
  </si>
  <si>
    <t>calcolo montante (colonna Z)</t>
  </si>
  <si>
    <t xml:space="preserve">Nota: Il coefficiente da applicare al 31/12/2013 (cella AN7) è pari ad 1,0000 </t>
  </si>
  <si>
    <t xml:space="preserve">         Pensioni 2017: Il montante viene rivalutato sino al 31 dicembre 2015, non </t>
  </si>
  <si>
    <t xml:space="preserve">         sono sottoposte a rivalutazione le retribuzioni del 2016 e del 2017.</t>
  </si>
  <si>
    <t>Nota bis: Il coefficiente 2015 (cella AN96) è stato valorizzato per intero.</t>
  </si>
  <si>
    <t xml:space="preserve">                l'indice a 1 è stato rinviato di un anno.</t>
  </si>
  <si>
    <t>B2 - Tredicesima</t>
  </si>
  <si>
    <t>B3 - Calcolo retribuzione  per determinare montante</t>
  </si>
  <si>
    <t>B4 - Calcolo montante</t>
  </si>
  <si>
    <t>C1 - Età alla cessazione</t>
  </si>
  <si>
    <t>C2 - Decurtazione comma 10 art. 24</t>
  </si>
  <si>
    <t>D2 - Indennità int. Speciale /orario sett.</t>
  </si>
  <si>
    <t>D1 - Accessorio</t>
  </si>
  <si>
    <t>quello da inserire nel 2016</t>
  </si>
  <si>
    <t>Controllare se aveva almeno 18 anni al 31/12/95</t>
  </si>
  <si>
    <t>B - Retribuzione accessoria</t>
  </si>
  <si>
    <t>B1 - Stipendio mensile</t>
  </si>
  <si>
    <t>B3 - Retrib. x montante</t>
  </si>
  <si>
    <t>C2 - Decurtazione under 62</t>
  </si>
  <si>
    <t>C3 - Coefficienti PIL</t>
  </si>
  <si>
    <t>D1 - Accessorio fisso mens.</t>
  </si>
  <si>
    <t>D2 - IIS/Orario sett.le</t>
  </si>
  <si>
    <t>Media al 31/8/2017 =</t>
  </si>
  <si>
    <t>Media ridotta 2017 =</t>
  </si>
  <si>
    <t>viene diminuita se supera</t>
  </si>
  <si>
    <t>copyright by Michele Napoli</t>
  </si>
  <si>
    <t>Per ulteriori informazioni leggi la</t>
  </si>
  <si>
    <t>Ma gli effetti del comma 707 riguardano pensioni molto elevate e quindi sono trascurabili per il personale della scuola.</t>
  </si>
  <si>
    <t>irpef</t>
  </si>
  <si>
    <t>Determina</t>
  </si>
  <si>
    <t>CalcoloA</t>
  </si>
  <si>
    <t>Contributivo</t>
  </si>
  <si>
    <t xml:space="preserve">     Per iniziare vai in </t>
  </si>
  <si>
    <t>Per aprire le varie pagine usare la barra di Excel sul bordo in basso oppure i link sottostanti:</t>
  </si>
  <si>
    <t>La semplicità dell'uso comporta un lieve e trascurabile margine di errore.</t>
  </si>
  <si>
    <t>SEQUENZA OPERAZIONI PER IL CALCOLO</t>
  </si>
  <si>
    <t>7 - Nella sezione Stampa si procede dal menu File alla stampa del calcolo ottenuto.</t>
  </si>
  <si>
    <t>NOTE</t>
  </si>
  <si>
    <t>che al 31/12/95 aveva maturato almeno 18 anni di anzianità pensionistica.</t>
  </si>
  <si>
    <t>Per i dirigenti è opportuno adoperare la versione STANDARD scaricabile dal sito.</t>
  </si>
  <si>
    <t xml:space="preserve">E' predisposto per il doppio calcolo introdotto dal comma 707 dell'art. 1 della legge 190/15, anche se questa procedura  </t>
  </si>
  <si>
    <t>produce effetti solo sulle pensioni elevate e quindi non riguarda le pensioni del personale scolastico.</t>
  </si>
  <si>
    <t>Si devono inserire o modificare i dati nelle celle di color paglierino.</t>
  </si>
  <si>
    <t>Molte celle presentano un triangolino rosso nell'angolo in alto a destra: sfiorarle col mouse per leggere utili informazioni.</t>
  </si>
  <si>
    <t>PENSIONE SCUOLA 2017</t>
  </si>
  <si>
    <t xml:space="preserve">           Versione novembre 2016</t>
  </si>
  <si>
    <t>Il margine di errore aumenta per chi negli ultimi 10 anni non ha ricevuto una regolare retribuzione secondo le tabelle del</t>
  </si>
  <si>
    <t>contratto vigente, ma ha ricevuto assegni ad personam, ha fatto il   part-time, oppure passaggi di ruolo …</t>
  </si>
  <si>
    <t>Datipers</t>
  </si>
  <si>
    <r>
      <t xml:space="preserve">1 - Nella sezione </t>
    </r>
    <r>
      <rPr>
        <b/>
        <sz val="10"/>
        <color indexed="10"/>
        <rFont val="Arial"/>
        <family val="2"/>
      </rPr>
      <t>Datipers</t>
    </r>
    <r>
      <rPr>
        <b/>
        <sz val="10"/>
        <rFont val="Arial"/>
        <family val="2"/>
      </rPr>
      <t xml:space="preserve"> inserire i dati mancanti o non corretti nelle celle giallo paglierino.</t>
    </r>
  </si>
  <si>
    <t xml:space="preserve">     Le altre celle sono protette da scrittura accidentale perché contengono formule di calcolo.</t>
  </si>
  <si>
    <r>
      <t xml:space="preserve">2 - Nella sezione </t>
    </r>
    <r>
      <rPr>
        <b/>
        <sz val="10"/>
        <color indexed="10"/>
        <rFont val="Arial"/>
        <family val="2"/>
      </rPr>
      <t>Irpef</t>
    </r>
    <r>
      <rPr>
        <b/>
        <sz val="10"/>
        <rFont val="Arial"/>
        <family val="2"/>
      </rPr>
      <t xml:space="preserve"> inserire i dati solo se ci sono familiari fiscalmente a  carico (moglie, figli, parenti …)</t>
    </r>
  </si>
  <si>
    <r>
      <t xml:space="preserve">3 - Nella sezione </t>
    </r>
    <r>
      <rPr>
        <b/>
        <sz val="10"/>
        <color indexed="10"/>
        <rFont val="Arial"/>
        <family val="2"/>
      </rPr>
      <t>Contributivo</t>
    </r>
    <r>
      <rPr>
        <b/>
        <sz val="10"/>
        <rFont val="Arial"/>
        <family val="2"/>
      </rPr>
      <t xml:space="preserve"> verificare se sono corretti i dati inseriti in automatico nelle celle color paglierino e se </t>
    </r>
  </si>
  <si>
    <t xml:space="preserve">    necessario modificarle.</t>
  </si>
  <si>
    <t xml:space="preserve">    Importante! Verificare che le retribuzioni siano inserite solo fino al mese di cessazione.</t>
  </si>
  <si>
    <r>
      <t xml:space="preserve">4 - Nella sezine </t>
    </r>
    <r>
      <rPr>
        <b/>
        <sz val="10"/>
        <color indexed="10"/>
        <rFont val="Arial"/>
        <family val="2"/>
      </rPr>
      <t>CalcoloA</t>
    </r>
    <r>
      <rPr>
        <b/>
        <sz val="10"/>
        <rFont val="Arial"/>
        <family val="2"/>
      </rPr>
      <t xml:space="preserve"> verificare il risultato ottenuto (calcolo retributivo fino al 2011).</t>
    </r>
  </si>
  <si>
    <r>
      <t xml:space="preserve">5 - Nella sezione </t>
    </r>
    <r>
      <rPr>
        <b/>
        <sz val="10"/>
        <color indexed="10"/>
        <rFont val="Arial"/>
        <family val="2"/>
      </rPr>
      <t>CalcoloB</t>
    </r>
    <r>
      <rPr>
        <b/>
        <sz val="10"/>
        <rFont val="Arial"/>
        <family val="2"/>
      </rPr>
      <t xml:space="preserve"> verificare il risultato ottenuto (Calcolo comma 707 retributivo fino alla cessazione).</t>
    </r>
  </si>
  <si>
    <r>
      <t xml:space="preserve">6 - Nella sezione </t>
    </r>
    <r>
      <rPr>
        <b/>
        <sz val="10"/>
        <color indexed="10"/>
        <rFont val="Arial"/>
        <family val="2"/>
      </rPr>
      <t xml:space="preserve">Determina </t>
    </r>
    <r>
      <rPr>
        <b/>
        <sz val="10"/>
        <rFont val="Arial"/>
        <family val="2"/>
      </rPr>
      <t>i calcoli in CalcoloA sono disposti come la comunicazione che si riceve dall'INPDAP.</t>
    </r>
  </si>
  <si>
    <t xml:space="preserve">Il programma permette di calcolare la pensione dal 1 settembre 2017 del personale della scuola (eccetto i dirigenti scolastici) </t>
  </si>
  <si>
    <t>vietato manomettere il programma</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</si>
</sst>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_-&quot;L.&quot;\ * #,##0.00_-;\-&quot;L.&quot;\ * #,##0.00_-;_-&quot;L.&quot;\ * &quot;-&quot;??_-;_-@_-"/>
    <numFmt numFmtId="166" formatCode="#,##0_ ;\-#,##0\ "/>
    <numFmt numFmtId="167" formatCode="0.0000"/>
    <numFmt numFmtId="168" formatCode="0.00000"/>
    <numFmt numFmtId="169" formatCode="0.000000"/>
    <numFmt numFmtId="170" formatCode="_-* #,##0.00_-;\-* #,##0.00_-;_-* &quot;-&quot;_-;_-@_-"/>
    <numFmt numFmtId="171" formatCode="_-* #,##0.0000_-;\-* #,##0.0000_-;_-* &quot;-&quot;_-;_-@_-"/>
    <numFmt numFmtId="172" formatCode="_-[$€-2]\ * #,##0.00_-;\-[$€-2]\ * #,##0.00_-;_-[$€-2]\ * &quot;-&quot;??_-"/>
    <numFmt numFmtId="173" formatCode="_-* #,##0.0000_-;\-* #,##0.0000_-;_-* &quot;-&quot;??_-;_-@_-"/>
    <numFmt numFmtId="174" formatCode="_-* #,##0_-;\-* #,##0_-;_-* &quot;-&quot;??_-;_-@_-"/>
    <numFmt numFmtId="175" formatCode="_-* #,##0.000000_-;\-* #,##0.000000_-;_-* &quot;-&quot;_-;_-@_-"/>
    <numFmt numFmtId="176" formatCode="[$£-809]#,##0"/>
    <numFmt numFmtId="177" formatCode=";;;"/>
    <numFmt numFmtId="178" formatCode="_-* #,##0.000000_-;\-* #,##0.000000_-;_-* &quot;-&quot;??_-;_-@_-"/>
    <numFmt numFmtId="179" formatCode="d/m/yy;@"/>
    <numFmt numFmtId="180" formatCode="_-* #,##0.0000000_-;\-* #,##0.0000000_-;_-* &quot;-&quot;??_-;_-@_-"/>
    <numFmt numFmtId="181" formatCode="&quot;€&quot;\ #,##0.00"/>
    <numFmt numFmtId="182" formatCode="#,##0.00_ ;\-#,##0.00\ "/>
    <numFmt numFmtId="183" formatCode="[$-410]dddd\ d\ mmmm\ yyyy"/>
    <numFmt numFmtId="184" formatCode="0.000"/>
    <numFmt numFmtId="185" formatCode="[$-410]mmm\-yy;@"/>
    <numFmt numFmtId="186" formatCode="&quot;Sì&quot;;&quot;Sì&quot;;&quot;No&quot;"/>
    <numFmt numFmtId="187" formatCode="&quot;Vero&quot;;&quot;Vero&quot;;&quot;Falso&quot;"/>
    <numFmt numFmtId="188" formatCode="&quot;Attivo&quot;;&quot;Attivo&quot;;&quot;Inattivo&quot;"/>
    <numFmt numFmtId="189" formatCode="[$€-2]\ #.##000_);[Red]\([$€-2]\ #.##000\)"/>
    <numFmt numFmtId="190" formatCode="dd/mm/yy;@"/>
    <numFmt numFmtId="191" formatCode="0.0000_ ;\-0.0000\ "/>
    <numFmt numFmtId="192" formatCode="mmm\-yyyy"/>
    <numFmt numFmtId="193" formatCode="_-* #,##0.0_-;\-* #,##0.0_-;_-* &quot;-&quot;??_-;_-@_-"/>
    <numFmt numFmtId="194" formatCode="_-* #,##0.000_-;\-* #,##0.000_-;_-* &quot;-&quot;??_-;_-@_-"/>
    <numFmt numFmtId="195" formatCode="_-* #,##0.00000_-;\-* #,##0.00000_-;_-* &quot;-&quot;??_-;_-@_-"/>
  </numFmts>
  <fonts count="82">
    <font>
      <sz val="10"/>
      <name val="Arial"/>
      <family val="0"/>
    </font>
    <font>
      <b/>
      <sz val="10"/>
      <name val="Arial"/>
      <family val="2"/>
    </font>
    <font>
      <sz val="10"/>
      <color indexed="10"/>
      <name val="Arial"/>
      <family val="2"/>
    </font>
    <font>
      <sz val="8"/>
      <name val="Arial"/>
      <family val="2"/>
    </font>
    <font>
      <sz val="26"/>
      <color indexed="9"/>
      <name val="Arial"/>
      <family val="2"/>
    </font>
    <font>
      <b/>
      <sz val="10"/>
      <color indexed="10"/>
      <name val="Arial"/>
      <family val="2"/>
    </font>
    <font>
      <i/>
      <sz val="10"/>
      <name val="Arial"/>
      <family val="2"/>
    </font>
    <font>
      <u val="single"/>
      <sz val="10"/>
      <color indexed="12"/>
      <name val="Arial"/>
      <family val="2"/>
    </font>
    <font>
      <u val="single"/>
      <sz val="10"/>
      <color indexed="36"/>
      <name val="Arial"/>
      <family val="2"/>
    </font>
    <font>
      <b/>
      <sz val="14"/>
      <name val="Arial"/>
      <family val="2"/>
    </font>
    <font>
      <b/>
      <i/>
      <sz val="10"/>
      <name val="Arial"/>
      <family val="2"/>
    </font>
    <font>
      <b/>
      <sz val="12"/>
      <name val="Arial"/>
      <family val="2"/>
    </font>
    <font>
      <sz val="8"/>
      <name val="Tahoma"/>
      <family val="2"/>
    </font>
    <font>
      <sz val="10"/>
      <color indexed="9"/>
      <name val="Arial"/>
      <family val="2"/>
    </font>
    <font>
      <sz val="18"/>
      <name val="Arial"/>
      <family val="2"/>
    </font>
    <font>
      <b/>
      <sz val="9"/>
      <name val="Tahoma"/>
      <family val="2"/>
    </font>
    <font>
      <sz val="9"/>
      <name val="Tahoma"/>
      <family val="2"/>
    </font>
    <font>
      <b/>
      <sz val="12"/>
      <color indexed="10"/>
      <name val="Times New Roman"/>
      <family val="1"/>
    </font>
    <font>
      <b/>
      <sz val="9"/>
      <color indexed="10"/>
      <name val="Tahoma"/>
      <family val="2"/>
    </font>
    <font>
      <b/>
      <sz val="8"/>
      <name val="Arial"/>
      <family val="2"/>
    </font>
    <font>
      <sz val="12"/>
      <name val="Arial"/>
      <family val="2"/>
    </font>
    <font>
      <b/>
      <sz val="12"/>
      <color indexed="10"/>
      <name val="Arial"/>
      <family val="2"/>
    </font>
    <font>
      <b/>
      <sz val="14"/>
      <color indexed="9"/>
      <name val="Arial"/>
      <family val="2"/>
    </font>
    <font>
      <sz val="14"/>
      <name val="Arial"/>
      <family val="2"/>
    </font>
    <font>
      <b/>
      <sz val="12"/>
      <color indexed="9"/>
      <name val="Arial"/>
      <family val="2"/>
    </font>
    <font>
      <sz val="18"/>
      <color indexed="9"/>
      <name val="Arial"/>
      <family val="2"/>
    </font>
    <font>
      <b/>
      <sz val="14"/>
      <name val="Times New Roman"/>
      <family val="1"/>
    </font>
    <font>
      <sz val="12"/>
      <name val="Times New Roman"/>
      <family val="1"/>
    </font>
    <font>
      <b/>
      <sz val="12"/>
      <name val="Times New Roman"/>
      <family val="1"/>
    </font>
    <font>
      <sz val="12"/>
      <color indexed="10"/>
      <name val="Times New Roman"/>
      <family val="1"/>
    </font>
    <font>
      <sz val="11"/>
      <name val="Arial"/>
      <family val="2"/>
    </font>
    <font>
      <b/>
      <sz val="11"/>
      <name val="Arial"/>
      <family val="2"/>
    </font>
    <font>
      <sz val="10"/>
      <color indexed="11"/>
      <name val="Arial"/>
      <family val="2"/>
    </font>
    <font>
      <sz val="12"/>
      <color indexed="9"/>
      <name val="Arial"/>
      <family val="2"/>
    </font>
    <font>
      <sz val="20"/>
      <color indexed="9"/>
      <name val="Arial"/>
      <family val="2"/>
    </font>
    <font>
      <sz val="10"/>
      <color indexed="41"/>
      <name val="Arial"/>
      <family val="2"/>
    </font>
    <font>
      <sz val="10"/>
      <color indexed="40"/>
      <name val="Arial"/>
      <family val="2"/>
    </font>
    <font>
      <sz val="14"/>
      <color indexed="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4"/>
      <name val="Times New Roman"/>
      <family val="1"/>
    </font>
    <font>
      <sz val="12"/>
      <color indexed="10"/>
      <name val="Arial"/>
      <family val="2"/>
    </font>
    <font>
      <sz val="10"/>
      <color indexed="49"/>
      <name val="Arial"/>
      <family val="2"/>
    </font>
    <font>
      <b/>
      <i/>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b/>
      <sz val="12"/>
      <color rgb="FFFF0000"/>
      <name val="Arial"/>
      <family val="2"/>
    </font>
    <font>
      <sz val="12"/>
      <color rgb="FFFF0000"/>
      <name val="Arial"/>
      <family val="2"/>
    </font>
    <font>
      <sz val="10"/>
      <color theme="0"/>
      <name val="Arial"/>
      <family val="2"/>
    </font>
    <font>
      <sz val="10"/>
      <color rgb="FF33CCCC"/>
      <name val="Arial"/>
      <family val="2"/>
    </font>
    <font>
      <b/>
      <i/>
      <sz val="10"/>
      <color rgb="FFFF0000"/>
      <name val="Arial"/>
      <family val="2"/>
    </font>
  </fonts>
  <fills count="64">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48"/>
        <bgColor indexed="64"/>
      </patternFill>
    </fill>
    <fill>
      <patternFill patternType="solid">
        <fgColor indexed="40"/>
        <bgColor indexed="64"/>
      </patternFill>
    </fill>
    <fill>
      <patternFill patternType="solid">
        <fgColor theme="8" tint="-0.24997000396251678"/>
        <bgColor indexed="64"/>
      </patternFill>
    </fill>
    <fill>
      <patternFill patternType="solid">
        <fgColor theme="0"/>
        <bgColor indexed="64"/>
      </patternFill>
    </fill>
    <fill>
      <patternFill patternType="solid">
        <fgColor rgb="FF33CCCC"/>
        <bgColor indexed="64"/>
      </patternFill>
    </fill>
    <fill>
      <patternFill patternType="solid">
        <fgColor rgb="FF00FFFF"/>
        <bgColor indexed="64"/>
      </patternFill>
    </fill>
    <fill>
      <patternFill patternType="solid">
        <fgColor rgb="FFCCFFFF"/>
        <bgColor indexed="64"/>
      </patternFill>
    </fill>
    <fill>
      <patternFill patternType="solid">
        <fgColor rgb="FFFFFF6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color indexed="63"/>
      </top>
      <bottom style="thick"/>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38" fillId="3" borderId="0" applyNumberFormat="0" applyBorder="0" applyAlignment="0" applyProtection="0"/>
    <xf numFmtId="0" fontId="59" fillId="4" borderId="0" applyNumberFormat="0" applyBorder="0" applyAlignment="0" applyProtection="0"/>
    <xf numFmtId="0" fontId="38" fillId="5" borderId="0" applyNumberFormat="0" applyBorder="0" applyAlignment="0" applyProtection="0"/>
    <xf numFmtId="0" fontId="59" fillId="6" borderId="0" applyNumberFormat="0" applyBorder="0" applyAlignment="0" applyProtection="0"/>
    <xf numFmtId="0" fontId="38" fillId="7" borderId="0" applyNumberFormat="0" applyBorder="0" applyAlignment="0" applyProtection="0"/>
    <xf numFmtId="0" fontId="59" fillId="8" borderId="0" applyNumberFormat="0" applyBorder="0" applyAlignment="0" applyProtection="0"/>
    <xf numFmtId="0" fontId="38" fillId="3" borderId="0" applyNumberFormat="0" applyBorder="0" applyAlignment="0" applyProtection="0"/>
    <xf numFmtId="0" fontId="59" fillId="9" borderId="0" applyNumberFormat="0" applyBorder="0" applyAlignment="0" applyProtection="0"/>
    <xf numFmtId="0" fontId="38" fillId="10" borderId="0" applyNumberFormat="0" applyBorder="0" applyAlignment="0" applyProtection="0"/>
    <xf numFmtId="0" fontId="59" fillId="11" borderId="0" applyNumberFormat="0" applyBorder="0" applyAlignment="0" applyProtection="0"/>
    <xf numFmtId="0" fontId="38" fillId="7" borderId="0" applyNumberFormat="0" applyBorder="0" applyAlignment="0" applyProtection="0"/>
    <xf numFmtId="0" fontId="59" fillId="12" borderId="0" applyNumberFormat="0" applyBorder="0" applyAlignment="0" applyProtection="0"/>
    <xf numFmtId="0" fontId="38" fillId="13" borderId="0" applyNumberFormat="0" applyBorder="0" applyAlignment="0" applyProtection="0"/>
    <xf numFmtId="0" fontId="59" fillId="14" borderId="0" applyNumberFormat="0" applyBorder="0" applyAlignment="0" applyProtection="0"/>
    <xf numFmtId="0" fontId="38" fillId="5" borderId="0" applyNumberFormat="0" applyBorder="0" applyAlignment="0" applyProtection="0"/>
    <xf numFmtId="0" fontId="59" fillId="15" borderId="0" applyNumberFormat="0" applyBorder="0" applyAlignment="0" applyProtection="0"/>
    <xf numFmtId="0" fontId="38" fillId="16" borderId="0" applyNumberFormat="0" applyBorder="0" applyAlignment="0" applyProtection="0"/>
    <xf numFmtId="0" fontId="59" fillId="17" borderId="0" applyNumberFormat="0" applyBorder="0" applyAlignment="0" applyProtection="0"/>
    <xf numFmtId="0" fontId="38" fillId="13" borderId="0" applyNumberFormat="0" applyBorder="0" applyAlignment="0" applyProtection="0"/>
    <xf numFmtId="0" fontId="59" fillId="18" borderId="0" applyNumberFormat="0" applyBorder="0" applyAlignment="0" applyProtection="0"/>
    <xf numFmtId="0" fontId="38" fillId="19" borderId="0" applyNumberFormat="0" applyBorder="0" applyAlignment="0" applyProtection="0"/>
    <xf numFmtId="0" fontId="59" fillId="20" borderId="0" applyNumberFormat="0" applyBorder="0" applyAlignment="0" applyProtection="0"/>
    <xf numFmtId="0" fontId="38" fillId="16"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60" fillId="23" borderId="0" applyNumberFormat="0" applyBorder="0" applyAlignment="0" applyProtection="0"/>
    <xf numFmtId="0" fontId="39" fillId="5" borderId="0" applyNumberFormat="0" applyBorder="0" applyAlignment="0" applyProtection="0"/>
    <xf numFmtId="0" fontId="60" fillId="24" borderId="0" applyNumberFormat="0" applyBorder="0" applyAlignment="0" applyProtection="0"/>
    <xf numFmtId="0" fontId="39" fillId="16" borderId="0" applyNumberFormat="0" applyBorder="0" applyAlignment="0" applyProtection="0"/>
    <xf numFmtId="0" fontId="60" fillId="25" borderId="0" applyNumberFormat="0" applyBorder="0" applyAlignment="0" applyProtection="0"/>
    <xf numFmtId="0" fontId="39" fillId="13" borderId="0" applyNumberFormat="0" applyBorder="0" applyAlignment="0" applyProtection="0"/>
    <xf numFmtId="0" fontId="60" fillId="26" borderId="0" applyNumberFormat="0" applyBorder="0" applyAlignment="0" applyProtection="0"/>
    <xf numFmtId="0" fontId="39" fillId="22" borderId="0" applyNumberFormat="0" applyBorder="0" applyAlignment="0" applyProtection="0"/>
    <xf numFmtId="0" fontId="60" fillId="27" borderId="0" applyNumberFormat="0" applyBorder="0" applyAlignment="0" applyProtection="0"/>
    <xf numFmtId="0" fontId="39" fillId="5" borderId="0" applyNumberFormat="0" applyBorder="0" applyAlignment="0" applyProtection="0"/>
    <xf numFmtId="0" fontId="61" fillId="28" borderId="1" applyNumberFormat="0" applyAlignment="0" applyProtection="0"/>
    <xf numFmtId="0" fontId="40" fillId="29" borderId="2" applyNumberFormat="0" applyAlignment="0" applyProtection="0"/>
    <xf numFmtId="0" fontId="62" fillId="0" borderId="3" applyNumberFormat="0" applyFill="0" applyAlignment="0" applyProtection="0"/>
    <xf numFmtId="0" fontId="41" fillId="0" borderId="4" applyNumberFormat="0" applyFill="0" applyAlignment="0" applyProtection="0"/>
    <xf numFmtId="0" fontId="63" fillId="30" borderId="5" applyNumberFormat="0" applyAlignment="0" applyProtection="0"/>
    <xf numFmtId="0" fontId="42" fillId="31" borderId="6"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0" fillId="32" borderId="0" applyNumberFormat="0" applyBorder="0" applyAlignment="0" applyProtection="0"/>
    <xf numFmtId="0" fontId="39" fillId="22" borderId="0" applyNumberFormat="0" applyBorder="0" applyAlignment="0" applyProtection="0"/>
    <xf numFmtId="0" fontId="60" fillId="33" borderId="0" applyNumberFormat="0" applyBorder="0" applyAlignment="0" applyProtection="0"/>
    <xf numFmtId="0" fontId="39" fillId="34" borderId="0" applyNumberFormat="0" applyBorder="0" applyAlignment="0" applyProtection="0"/>
    <xf numFmtId="0" fontId="60" fillId="35" borderId="0" applyNumberFormat="0" applyBorder="0" applyAlignment="0" applyProtection="0"/>
    <xf numFmtId="0" fontId="39" fillId="36" borderId="0" applyNumberFormat="0" applyBorder="0" applyAlignment="0" applyProtection="0"/>
    <xf numFmtId="0" fontId="60" fillId="37" borderId="0" applyNumberFormat="0" applyBorder="0" applyAlignment="0" applyProtection="0"/>
    <xf numFmtId="0" fontId="39" fillId="38" borderId="0" applyNumberFormat="0" applyBorder="0" applyAlignment="0" applyProtection="0"/>
    <xf numFmtId="0" fontId="60" fillId="39" borderId="0" applyNumberFormat="0" applyBorder="0" applyAlignment="0" applyProtection="0"/>
    <xf numFmtId="0" fontId="39" fillId="22" borderId="0" applyNumberFormat="0" applyBorder="0" applyAlignment="0" applyProtection="0"/>
    <xf numFmtId="0" fontId="60" fillId="40" borderId="0" applyNumberFormat="0" applyBorder="0" applyAlignment="0" applyProtection="0"/>
    <xf numFmtId="0" fontId="39" fillId="41" borderId="0" applyNumberFormat="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64" fillId="42" borderId="1" applyNumberFormat="0" applyAlignment="0" applyProtection="0"/>
    <xf numFmtId="0" fontId="4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43" borderId="0" applyNumberFormat="0" applyBorder="0" applyAlignment="0" applyProtection="0"/>
    <xf numFmtId="0" fontId="44" fillId="16" borderId="0" applyNumberFormat="0" applyBorder="0" applyAlignment="0" applyProtection="0"/>
    <xf numFmtId="0" fontId="0" fillId="0" borderId="0">
      <alignment/>
      <protection/>
    </xf>
    <xf numFmtId="0" fontId="0" fillId="44" borderId="7" applyNumberFormat="0" applyFont="0" applyAlignment="0" applyProtection="0"/>
    <xf numFmtId="0" fontId="0" fillId="7" borderId="8" applyNumberFormat="0" applyFont="0" applyAlignment="0" applyProtection="0"/>
    <xf numFmtId="0" fontId="0" fillId="7" borderId="8" applyNumberFormat="0" applyFont="0" applyAlignment="0" applyProtection="0"/>
    <xf numFmtId="0" fontId="66" fillId="28" borderId="9" applyNumberFormat="0" applyAlignment="0" applyProtection="0"/>
    <xf numFmtId="0" fontId="45" fillId="29" borderId="10"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46" fillId="0" borderId="0" applyNumberFormat="0" applyFill="0" applyBorder="0" applyAlignment="0" applyProtection="0"/>
    <xf numFmtId="0" fontId="68" fillId="0" borderId="0" applyNumberFormat="0" applyFill="0" applyBorder="0" applyAlignment="0" applyProtection="0"/>
    <xf numFmtId="0" fontId="47" fillId="0" borderId="0" applyNumberFormat="0" applyFill="0" applyBorder="0" applyAlignment="0" applyProtection="0"/>
    <xf numFmtId="0" fontId="69" fillId="0" borderId="0" applyNumberFormat="0" applyFill="0" applyBorder="0" applyAlignment="0" applyProtection="0"/>
    <xf numFmtId="0" fontId="70" fillId="0" borderId="11" applyNumberFormat="0" applyFill="0" applyAlignment="0" applyProtection="0"/>
    <xf numFmtId="0" fontId="49" fillId="0" borderId="12" applyNumberFormat="0" applyFill="0" applyAlignment="0" applyProtection="0"/>
    <xf numFmtId="0" fontId="71" fillId="0" borderId="13" applyNumberFormat="0" applyFill="0" applyAlignment="0" applyProtection="0"/>
    <xf numFmtId="0" fontId="50" fillId="0" borderId="14" applyNumberFormat="0" applyFill="0" applyAlignment="0" applyProtection="0"/>
    <xf numFmtId="0" fontId="72" fillId="0" borderId="15" applyNumberFormat="0" applyFill="0" applyAlignment="0" applyProtection="0"/>
    <xf numFmtId="0" fontId="51" fillId="0" borderId="16" applyNumberFormat="0" applyFill="0" applyAlignment="0" applyProtection="0"/>
    <xf numFmtId="0" fontId="72" fillId="0" borderId="0" applyNumberFormat="0" applyFill="0" applyBorder="0" applyAlignment="0" applyProtection="0"/>
    <xf numFmtId="0" fontId="51" fillId="0" borderId="0" applyNumberFormat="0" applyFill="0" applyBorder="0" applyAlignment="0" applyProtection="0"/>
    <xf numFmtId="0" fontId="48" fillId="0" borderId="0" applyNumberFormat="0" applyFill="0" applyBorder="0" applyAlignment="0" applyProtection="0"/>
    <xf numFmtId="0" fontId="73" fillId="0" borderId="17" applyNumberFormat="0" applyFill="0" applyAlignment="0" applyProtection="0"/>
    <xf numFmtId="0" fontId="52" fillId="0" borderId="18" applyNumberFormat="0" applyFill="0" applyAlignment="0" applyProtection="0"/>
    <xf numFmtId="0" fontId="74" fillId="45" borderId="0" applyNumberFormat="0" applyBorder="0" applyAlignment="0" applyProtection="0"/>
    <xf numFmtId="0" fontId="53" fillId="46" borderId="0" applyNumberFormat="0" applyBorder="0" applyAlignment="0" applyProtection="0"/>
    <xf numFmtId="0" fontId="75" fillId="47" borderId="0" applyNumberFormat="0" applyBorder="0" applyAlignment="0" applyProtection="0"/>
    <xf numFmtId="0" fontId="54" fillId="4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726">
    <xf numFmtId="0" fontId="0" fillId="0" borderId="0" xfId="0" applyAlignment="1">
      <alignment/>
    </xf>
    <xf numFmtId="0" fontId="0" fillId="22" borderId="0" xfId="0" applyFill="1" applyAlignment="1">
      <alignment/>
    </xf>
    <xf numFmtId="0" fontId="0" fillId="0" borderId="0" xfId="0" applyFont="1" applyAlignment="1">
      <alignment/>
    </xf>
    <xf numFmtId="0" fontId="0" fillId="0" borderId="0" xfId="0" applyAlignment="1">
      <alignment horizontal="center"/>
    </xf>
    <xf numFmtId="0" fontId="0" fillId="22" borderId="0" xfId="0" applyFill="1" applyAlignment="1">
      <alignment horizontal="center"/>
    </xf>
    <xf numFmtId="0" fontId="0" fillId="22" borderId="0" xfId="0" applyFill="1" applyAlignment="1" applyProtection="1">
      <alignment/>
      <protection/>
    </xf>
    <xf numFmtId="0" fontId="5" fillId="0" borderId="0" xfId="0" applyFont="1" applyAlignment="1">
      <alignment/>
    </xf>
    <xf numFmtId="0" fontId="0" fillId="49" borderId="0" xfId="0" applyFill="1" applyAlignment="1" applyProtection="1">
      <alignment horizontal="center"/>
      <protection/>
    </xf>
    <xf numFmtId="0" fontId="0" fillId="49" borderId="0" xfId="0" applyFill="1" applyAlignment="1" applyProtection="1">
      <alignment/>
      <protection/>
    </xf>
    <xf numFmtId="0" fontId="0" fillId="22" borderId="0" xfId="0" applyFill="1" applyAlignment="1" applyProtection="1">
      <alignment horizontal="center"/>
      <protection/>
    </xf>
    <xf numFmtId="0" fontId="4" fillId="49" borderId="0" xfId="0" applyFont="1" applyFill="1" applyAlignment="1" applyProtection="1">
      <alignment horizontal="left"/>
      <protection/>
    </xf>
    <xf numFmtId="0" fontId="0" fillId="50" borderId="0" xfId="0" applyFill="1" applyAlignment="1" applyProtection="1">
      <alignment/>
      <protection/>
    </xf>
    <xf numFmtId="0" fontId="0" fillId="50" borderId="0" xfId="0" applyFont="1" applyFill="1" applyAlignment="1" applyProtection="1">
      <alignment/>
      <protection/>
    </xf>
    <xf numFmtId="0" fontId="0" fillId="50" borderId="0" xfId="0" applyFill="1" applyAlignment="1">
      <alignment/>
    </xf>
    <xf numFmtId="0" fontId="0" fillId="50" borderId="0" xfId="0" applyFill="1" applyAlignment="1" applyProtection="1">
      <alignment horizontal="center"/>
      <protection/>
    </xf>
    <xf numFmtId="0" fontId="5" fillId="50" borderId="0" xfId="0" applyFont="1" applyFill="1" applyAlignment="1" applyProtection="1">
      <alignment/>
      <protection/>
    </xf>
    <xf numFmtId="0" fontId="1" fillId="50" borderId="0" xfId="0" applyFont="1" applyFill="1" applyAlignment="1" applyProtection="1">
      <alignment/>
      <protection/>
    </xf>
    <xf numFmtId="0" fontId="0" fillId="51" borderId="0" xfId="0" applyFill="1" applyAlignment="1" applyProtection="1">
      <alignment/>
      <protection/>
    </xf>
    <xf numFmtId="0" fontId="1" fillId="22" borderId="0" xfId="0" applyFont="1" applyFill="1" applyAlignment="1" applyProtection="1">
      <alignment/>
      <protection/>
    </xf>
    <xf numFmtId="0" fontId="0" fillId="49" borderId="0" xfId="0" applyFill="1" applyAlignment="1">
      <alignment/>
    </xf>
    <xf numFmtId="0" fontId="0" fillId="50" borderId="19" xfId="0" applyFill="1" applyBorder="1" applyAlignment="1">
      <alignment/>
    </xf>
    <xf numFmtId="0" fontId="0" fillId="52" borderId="19" xfId="0" applyFill="1" applyBorder="1" applyAlignment="1">
      <alignment/>
    </xf>
    <xf numFmtId="0" fontId="0" fillId="50" borderId="19" xfId="0" applyFill="1" applyBorder="1" applyAlignment="1">
      <alignment horizontal="center"/>
    </xf>
    <xf numFmtId="0" fontId="0" fillId="53" borderId="19" xfId="0" applyFill="1" applyBorder="1" applyAlignment="1">
      <alignment/>
    </xf>
    <xf numFmtId="0" fontId="0" fillId="53" borderId="19" xfId="0" applyFill="1" applyBorder="1" applyAlignment="1">
      <alignment horizontal="center"/>
    </xf>
    <xf numFmtId="0" fontId="5" fillId="51" borderId="19" xfId="0" applyFont="1" applyFill="1" applyBorder="1" applyAlignment="1">
      <alignment horizontal="left"/>
    </xf>
    <xf numFmtId="0" fontId="5" fillId="51" borderId="19" xfId="0" applyFont="1" applyFill="1" applyBorder="1" applyAlignment="1">
      <alignment/>
    </xf>
    <xf numFmtId="0" fontId="0" fillId="54" borderId="19" xfId="0" applyFill="1" applyBorder="1" applyAlignment="1">
      <alignment/>
    </xf>
    <xf numFmtId="0" fontId="0" fillId="54" borderId="19" xfId="0" applyFill="1" applyBorder="1" applyAlignment="1">
      <alignment horizontal="center"/>
    </xf>
    <xf numFmtId="0" fontId="0" fillId="55" borderId="19" xfId="0" applyFill="1" applyBorder="1" applyAlignment="1">
      <alignment/>
    </xf>
    <xf numFmtId="0" fontId="0" fillId="55" borderId="19" xfId="0" applyFill="1" applyBorder="1" applyAlignment="1">
      <alignment horizontal="center"/>
    </xf>
    <xf numFmtId="0" fontId="0" fillId="19" borderId="19" xfId="0" applyFill="1" applyBorder="1" applyAlignment="1">
      <alignment/>
    </xf>
    <xf numFmtId="0" fontId="0" fillId="19" borderId="19" xfId="0" applyFill="1" applyBorder="1" applyAlignment="1">
      <alignment horizontal="center"/>
    </xf>
    <xf numFmtId="0" fontId="0" fillId="51" borderId="19" xfId="0" applyFill="1" applyBorder="1" applyAlignment="1">
      <alignment/>
    </xf>
    <xf numFmtId="0" fontId="0" fillId="51" borderId="19" xfId="0" applyFill="1" applyBorder="1" applyAlignment="1">
      <alignment horizontal="center"/>
    </xf>
    <xf numFmtId="0" fontId="0" fillId="22" borderId="19" xfId="0" applyFill="1" applyBorder="1" applyAlignment="1">
      <alignment/>
    </xf>
    <xf numFmtId="0" fontId="0" fillId="22" borderId="19" xfId="0" applyFill="1" applyBorder="1" applyAlignment="1">
      <alignment horizontal="center"/>
    </xf>
    <xf numFmtId="0" fontId="0" fillId="49" borderId="20" xfId="0" applyFill="1" applyBorder="1" applyAlignment="1">
      <alignment/>
    </xf>
    <xf numFmtId="0" fontId="0" fillId="48" borderId="21" xfId="0" applyFill="1" applyBorder="1" applyAlignment="1">
      <alignment/>
    </xf>
    <xf numFmtId="0" fontId="0" fillId="49" borderId="22" xfId="0" applyFill="1" applyBorder="1" applyAlignment="1">
      <alignment/>
    </xf>
    <xf numFmtId="0" fontId="0" fillId="48" borderId="0" xfId="0" applyFill="1" applyBorder="1" applyAlignment="1">
      <alignment/>
    </xf>
    <xf numFmtId="0" fontId="0" fillId="48" borderId="23" xfId="0" applyFill="1" applyBorder="1" applyAlignment="1">
      <alignment/>
    </xf>
    <xf numFmtId="0" fontId="0" fillId="49" borderId="0" xfId="0" applyFill="1" applyBorder="1" applyAlignment="1">
      <alignment/>
    </xf>
    <xf numFmtId="2" fontId="0" fillId="49" borderId="0" xfId="0" applyNumberFormat="1" applyFill="1" applyBorder="1" applyAlignment="1">
      <alignment/>
    </xf>
    <xf numFmtId="0" fontId="0" fillId="49" borderId="23" xfId="0" applyFill="1" applyBorder="1" applyAlignment="1">
      <alignment/>
    </xf>
    <xf numFmtId="43" fontId="0" fillId="50" borderId="0" xfId="0" applyNumberFormat="1" applyFill="1" applyAlignment="1" applyProtection="1">
      <alignment/>
      <protection/>
    </xf>
    <xf numFmtId="0" fontId="1" fillId="48" borderId="0" xfId="0" applyFont="1" applyFill="1" applyBorder="1" applyAlignment="1">
      <alignment/>
    </xf>
    <xf numFmtId="167" fontId="0" fillId="48" borderId="0" xfId="0" applyNumberFormat="1" applyFill="1" applyBorder="1" applyAlignment="1">
      <alignment/>
    </xf>
    <xf numFmtId="169" fontId="1" fillId="48" borderId="0" xfId="0" applyNumberFormat="1" applyFont="1" applyFill="1" applyBorder="1" applyAlignment="1">
      <alignment/>
    </xf>
    <xf numFmtId="168" fontId="0" fillId="48" borderId="0" xfId="0" applyNumberFormat="1" applyFill="1" applyBorder="1" applyAlignment="1">
      <alignment/>
    </xf>
    <xf numFmtId="170" fontId="0" fillId="48" borderId="0" xfId="78" applyNumberFormat="1" applyFont="1" applyFill="1" applyBorder="1" applyAlignment="1">
      <alignment/>
    </xf>
    <xf numFmtId="0" fontId="0" fillId="56" borderId="0" xfId="0" applyFill="1" applyAlignment="1">
      <alignment/>
    </xf>
    <xf numFmtId="0" fontId="13" fillId="56" borderId="0" xfId="0" applyFont="1" applyFill="1" applyAlignment="1">
      <alignment/>
    </xf>
    <xf numFmtId="43" fontId="0" fillId="50" borderId="19" xfId="77" applyFont="1" applyFill="1" applyBorder="1" applyAlignment="1">
      <alignment/>
    </xf>
    <xf numFmtId="0" fontId="0" fillId="53" borderId="24" xfId="0" applyFill="1" applyBorder="1" applyAlignment="1">
      <alignment horizontal="center"/>
    </xf>
    <xf numFmtId="43" fontId="0" fillId="52" borderId="19" xfId="77" applyFont="1" applyFill="1" applyBorder="1" applyAlignment="1">
      <alignment/>
    </xf>
    <xf numFmtId="43" fontId="0" fillId="52" borderId="19" xfId="77" applyFont="1" applyFill="1" applyBorder="1" applyAlignment="1">
      <alignment horizontal="center"/>
    </xf>
    <xf numFmtId="43" fontId="0" fillId="52" borderId="19" xfId="77" applyFont="1" applyFill="1" applyBorder="1" applyAlignment="1">
      <alignment/>
    </xf>
    <xf numFmtId="43" fontId="0" fillId="54" borderId="19" xfId="77" applyFont="1" applyFill="1" applyBorder="1" applyAlignment="1">
      <alignment/>
    </xf>
    <xf numFmtId="43" fontId="0" fillId="53" borderId="19" xfId="77" applyFont="1" applyFill="1" applyBorder="1" applyAlignment="1">
      <alignment/>
    </xf>
    <xf numFmtId="43" fontId="0" fillId="55" borderId="19" xfId="77" applyFont="1" applyFill="1" applyBorder="1" applyAlignment="1">
      <alignment/>
    </xf>
    <xf numFmtId="43" fontId="0" fillId="19" borderId="19" xfId="77" applyFont="1" applyFill="1" applyBorder="1" applyAlignment="1">
      <alignment/>
    </xf>
    <xf numFmtId="43" fontId="0" fillId="51" borderId="19" xfId="77" applyFont="1" applyFill="1" applyBorder="1" applyAlignment="1">
      <alignment/>
    </xf>
    <xf numFmtId="43" fontId="0" fillId="22" borderId="19" xfId="77" applyFont="1" applyFill="1" applyBorder="1" applyAlignment="1">
      <alignment/>
    </xf>
    <xf numFmtId="0" fontId="0" fillId="49" borderId="21" xfId="0" applyFill="1" applyBorder="1" applyAlignment="1">
      <alignment/>
    </xf>
    <xf numFmtId="0" fontId="5" fillId="22" borderId="0" xfId="0" applyFont="1" applyFill="1" applyAlignment="1" applyProtection="1">
      <alignment/>
      <protection/>
    </xf>
    <xf numFmtId="0" fontId="0" fillId="0" borderId="0" xfId="0" applyAlignment="1" quotePrefix="1">
      <alignment/>
    </xf>
    <xf numFmtId="41" fontId="0" fillId="50" borderId="0" xfId="0" applyNumberFormat="1" applyFill="1" applyAlignment="1" applyProtection="1">
      <alignment/>
      <protection/>
    </xf>
    <xf numFmtId="1" fontId="1" fillId="50" borderId="19" xfId="0" applyNumberFormat="1" applyFont="1" applyFill="1" applyBorder="1" applyAlignment="1" applyProtection="1">
      <alignment horizontal="center"/>
      <protection locked="0"/>
    </xf>
    <xf numFmtId="0" fontId="0" fillId="51" borderId="0" xfId="0" applyFill="1" applyAlignment="1">
      <alignment/>
    </xf>
    <xf numFmtId="43" fontId="0" fillId="48" borderId="0" xfId="77" applyFont="1" applyFill="1" applyBorder="1" applyAlignment="1">
      <alignment/>
    </xf>
    <xf numFmtId="43" fontId="0" fillId="48" borderId="23" xfId="77" applyFont="1" applyFill="1" applyBorder="1" applyAlignment="1">
      <alignment/>
    </xf>
    <xf numFmtId="170" fontId="0" fillId="22" borderId="0" xfId="0" applyNumberFormat="1" applyFill="1" applyAlignment="1" applyProtection="1">
      <alignment/>
      <protection/>
    </xf>
    <xf numFmtId="0" fontId="0" fillId="29" borderId="20" xfId="0" applyFill="1" applyBorder="1" applyAlignment="1">
      <alignment/>
    </xf>
    <xf numFmtId="0" fontId="0" fillId="29" borderId="21" xfId="0" applyFill="1" applyBorder="1" applyAlignment="1">
      <alignment/>
    </xf>
    <xf numFmtId="0" fontId="0" fillId="29" borderId="25" xfId="0" applyFill="1" applyBorder="1" applyAlignment="1">
      <alignment/>
    </xf>
    <xf numFmtId="0" fontId="0" fillId="29" borderId="22" xfId="0" applyFill="1" applyBorder="1" applyAlignment="1">
      <alignment/>
    </xf>
    <xf numFmtId="0" fontId="0" fillId="29" borderId="0" xfId="0" applyFill="1" applyBorder="1" applyAlignment="1">
      <alignment/>
    </xf>
    <xf numFmtId="0" fontId="0" fillId="29" borderId="26" xfId="0" applyFill="1" applyBorder="1" applyAlignment="1">
      <alignment/>
    </xf>
    <xf numFmtId="0" fontId="0" fillId="29" borderId="27" xfId="0" applyFill="1" applyBorder="1" applyAlignment="1">
      <alignment/>
    </xf>
    <xf numFmtId="0" fontId="0" fillId="29" borderId="23" xfId="0" applyFill="1" applyBorder="1" applyAlignment="1">
      <alignment/>
    </xf>
    <xf numFmtId="0" fontId="0" fillId="29" borderId="28" xfId="0" applyFill="1" applyBorder="1" applyAlignment="1">
      <alignment/>
    </xf>
    <xf numFmtId="170" fontId="1" fillId="50" borderId="19" xfId="0" applyNumberFormat="1" applyFont="1" applyFill="1" applyBorder="1" applyAlignment="1" applyProtection="1">
      <alignment/>
      <protection/>
    </xf>
    <xf numFmtId="0" fontId="0" fillId="29" borderId="0" xfId="0" applyFill="1" applyAlignment="1">
      <alignment/>
    </xf>
    <xf numFmtId="0" fontId="0" fillId="50" borderId="24" xfId="0" applyFill="1" applyBorder="1" applyAlignment="1">
      <alignment/>
    </xf>
    <xf numFmtId="170" fontId="5" fillId="50" borderId="19" xfId="78" applyNumberFormat="1" applyFont="1" applyFill="1" applyBorder="1" applyAlignment="1" applyProtection="1">
      <alignment/>
      <protection/>
    </xf>
    <xf numFmtId="0" fontId="1" fillId="50" borderId="29" xfId="0" applyFont="1" applyFill="1" applyBorder="1" applyAlignment="1" applyProtection="1">
      <alignment/>
      <protection/>
    </xf>
    <xf numFmtId="0" fontId="0" fillId="50" borderId="30" xfId="0" applyFill="1" applyBorder="1" applyAlignment="1" applyProtection="1">
      <alignment horizontal="center"/>
      <protection/>
    </xf>
    <xf numFmtId="0" fontId="0" fillId="50" borderId="31" xfId="0" applyFill="1" applyBorder="1" applyAlignment="1" applyProtection="1">
      <alignment/>
      <protection/>
    </xf>
    <xf numFmtId="0" fontId="1" fillId="50" borderId="32" xfId="0" applyFont="1" applyFill="1" applyBorder="1" applyAlignment="1" applyProtection="1">
      <alignment/>
      <protection/>
    </xf>
    <xf numFmtId="0" fontId="0" fillId="50" borderId="0" xfId="0" applyFill="1" applyBorder="1" applyAlignment="1" applyProtection="1">
      <alignment horizontal="center"/>
      <protection/>
    </xf>
    <xf numFmtId="0" fontId="0" fillId="50" borderId="33" xfId="0" applyFill="1" applyBorder="1" applyAlignment="1" applyProtection="1">
      <alignment/>
      <protection/>
    </xf>
    <xf numFmtId="0" fontId="0" fillId="50" borderId="32" xfId="0" applyFill="1" applyBorder="1" applyAlignment="1" applyProtection="1">
      <alignment/>
      <protection/>
    </xf>
    <xf numFmtId="0" fontId="0" fillId="50" borderId="34" xfId="0" applyFill="1" applyBorder="1" applyAlignment="1" applyProtection="1">
      <alignment/>
      <protection/>
    </xf>
    <xf numFmtId="0" fontId="0" fillId="50" borderId="35" xfId="0" applyFill="1" applyBorder="1" applyAlignment="1" applyProtection="1">
      <alignment horizontal="center"/>
      <protection/>
    </xf>
    <xf numFmtId="43" fontId="0" fillId="51" borderId="0" xfId="0" applyNumberFormat="1" applyFill="1" applyAlignment="1" applyProtection="1">
      <alignment/>
      <protection/>
    </xf>
    <xf numFmtId="0" fontId="10" fillId="50" borderId="0" xfId="0" applyFont="1" applyFill="1" applyBorder="1" applyAlignment="1" applyProtection="1">
      <alignment/>
      <protection/>
    </xf>
    <xf numFmtId="0" fontId="0" fillId="50" borderId="36" xfId="0" applyFill="1" applyBorder="1" applyAlignment="1" applyProtection="1">
      <alignment/>
      <protection/>
    </xf>
    <xf numFmtId="0" fontId="0" fillId="50" borderId="24" xfId="0" applyFill="1" applyBorder="1" applyAlignment="1" applyProtection="1">
      <alignment/>
      <protection/>
    </xf>
    <xf numFmtId="43" fontId="0" fillId="50" borderId="19" xfId="77" applyFont="1" applyFill="1" applyBorder="1" applyAlignment="1" applyProtection="1">
      <alignment/>
      <protection/>
    </xf>
    <xf numFmtId="0" fontId="1" fillId="50" borderId="36" xfId="0" applyFont="1" applyFill="1" applyBorder="1" applyAlignment="1" applyProtection="1">
      <alignment/>
      <protection/>
    </xf>
    <xf numFmtId="0" fontId="1" fillId="50" borderId="24" xfId="0" applyFont="1" applyFill="1" applyBorder="1" applyAlignment="1" applyProtection="1">
      <alignment/>
      <protection/>
    </xf>
    <xf numFmtId="43" fontId="1" fillId="50" borderId="19" xfId="77" applyFont="1" applyFill="1" applyBorder="1" applyAlignment="1" applyProtection="1">
      <alignment/>
      <protection/>
    </xf>
    <xf numFmtId="0" fontId="5" fillId="50" borderId="36" xfId="0" applyFont="1" applyFill="1" applyBorder="1" applyAlignment="1" applyProtection="1">
      <alignment/>
      <protection/>
    </xf>
    <xf numFmtId="0" fontId="2" fillId="50" borderId="24" xfId="0" applyFont="1" applyFill="1" applyBorder="1" applyAlignment="1" applyProtection="1">
      <alignment/>
      <protection/>
    </xf>
    <xf numFmtId="0" fontId="11" fillId="50" borderId="0" xfId="0" applyFont="1" applyFill="1" applyAlignment="1">
      <alignment/>
    </xf>
    <xf numFmtId="0" fontId="0" fillId="50" borderId="37" xfId="0" applyFill="1" applyBorder="1" applyAlignment="1">
      <alignment/>
    </xf>
    <xf numFmtId="0" fontId="0" fillId="50" borderId="37" xfId="0" applyFill="1" applyBorder="1" applyAlignment="1">
      <alignment horizontal="center"/>
    </xf>
    <xf numFmtId="0" fontId="0" fillId="50" borderId="38" xfId="0" applyFill="1" applyBorder="1" applyAlignment="1">
      <alignment/>
    </xf>
    <xf numFmtId="0" fontId="0" fillId="50" borderId="38" xfId="0" applyFill="1" applyBorder="1" applyAlignment="1">
      <alignment horizontal="center"/>
    </xf>
    <xf numFmtId="0" fontId="0" fillId="22" borderId="25" xfId="0" applyFill="1" applyBorder="1" applyAlignment="1">
      <alignment/>
    </xf>
    <xf numFmtId="0" fontId="0" fillId="50" borderId="26" xfId="0" applyFill="1" applyBorder="1" applyAlignment="1">
      <alignment/>
    </xf>
    <xf numFmtId="4" fontId="0" fillId="50" borderId="37" xfId="0" applyNumberFormat="1" applyFill="1" applyBorder="1" applyAlignment="1">
      <alignment horizontal="center"/>
    </xf>
    <xf numFmtId="0" fontId="0" fillId="22" borderId="28" xfId="0" applyFill="1" applyBorder="1" applyAlignment="1">
      <alignment/>
    </xf>
    <xf numFmtId="4" fontId="0" fillId="50" borderId="19" xfId="0" applyNumberFormat="1" applyFill="1" applyBorder="1" applyAlignment="1">
      <alignment horizontal="center"/>
    </xf>
    <xf numFmtId="1" fontId="0" fillId="50" borderId="0" xfId="0" applyNumberFormat="1" applyFill="1" applyAlignment="1">
      <alignment/>
    </xf>
    <xf numFmtId="170" fontId="5" fillId="22" borderId="0" xfId="0" applyNumberFormat="1" applyFont="1" applyFill="1" applyAlignment="1" applyProtection="1">
      <alignment horizontal="center"/>
      <protection/>
    </xf>
    <xf numFmtId="170" fontId="5" fillId="22" borderId="0" xfId="0" applyNumberFormat="1" applyFont="1" applyFill="1" applyAlignment="1" applyProtection="1">
      <alignment/>
      <protection/>
    </xf>
    <xf numFmtId="0" fontId="2" fillId="16" borderId="19" xfId="0" applyFont="1" applyFill="1" applyBorder="1" applyAlignment="1" applyProtection="1">
      <alignment/>
      <protection locked="0"/>
    </xf>
    <xf numFmtId="0" fontId="0" fillId="16" borderId="19" xfId="0" applyFill="1" applyBorder="1" applyAlignment="1" applyProtection="1">
      <alignment horizontal="center"/>
      <protection locked="0"/>
    </xf>
    <xf numFmtId="1" fontId="0" fillId="16" borderId="19" xfId="0" applyNumberFormat="1" applyFill="1" applyBorder="1" applyAlignment="1" applyProtection="1">
      <alignment horizontal="center"/>
      <protection locked="0"/>
    </xf>
    <xf numFmtId="1" fontId="0" fillId="50" borderId="19" xfId="0" applyNumberFormat="1" applyFill="1" applyBorder="1" applyAlignment="1" applyProtection="1">
      <alignment horizontal="center"/>
      <protection/>
    </xf>
    <xf numFmtId="43" fontId="1" fillId="50" borderId="0" xfId="77" applyFont="1" applyFill="1" applyAlignment="1" applyProtection="1">
      <alignment/>
      <protection/>
    </xf>
    <xf numFmtId="0" fontId="0" fillId="22" borderId="0" xfId="0" applyFill="1" applyAlignment="1" applyProtection="1">
      <alignment horizontal="left"/>
      <protection/>
    </xf>
    <xf numFmtId="43" fontId="0" fillId="50" borderId="19" xfId="77" applyFont="1" applyFill="1" applyBorder="1" applyAlignment="1">
      <alignment horizontal="center"/>
    </xf>
    <xf numFmtId="43" fontId="0" fillId="53" borderId="24" xfId="77" applyFont="1" applyFill="1" applyBorder="1" applyAlignment="1">
      <alignment horizontal="center"/>
    </xf>
    <xf numFmtId="43" fontId="0" fillId="53" borderId="19" xfId="77" applyFont="1" applyFill="1" applyBorder="1" applyAlignment="1">
      <alignment horizontal="center"/>
    </xf>
    <xf numFmtId="43" fontId="0" fillId="54" borderId="19" xfId="77" applyFont="1" applyFill="1" applyBorder="1" applyAlignment="1">
      <alignment horizontal="center"/>
    </xf>
    <xf numFmtId="43" fontId="0" fillId="55" borderId="19" xfId="77" applyFont="1" applyFill="1" applyBorder="1" applyAlignment="1">
      <alignment horizontal="center"/>
    </xf>
    <xf numFmtId="43" fontId="0" fillId="19" borderId="19" xfId="77" applyFont="1" applyFill="1" applyBorder="1" applyAlignment="1">
      <alignment horizontal="center"/>
    </xf>
    <xf numFmtId="43" fontId="0" fillId="51" borderId="19" xfId="77" applyFont="1" applyFill="1" applyBorder="1" applyAlignment="1">
      <alignment horizontal="center"/>
    </xf>
    <xf numFmtId="43" fontId="0" fillId="22" borderId="19" xfId="77" applyFont="1" applyFill="1" applyBorder="1" applyAlignment="1">
      <alignment horizontal="center"/>
    </xf>
    <xf numFmtId="0" fontId="0" fillId="57" borderId="0" xfId="0" applyFill="1" applyAlignment="1">
      <alignment/>
    </xf>
    <xf numFmtId="43" fontId="0" fillId="57" borderId="0" xfId="77" applyFont="1" applyFill="1" applyAlignment="1">
      <alignment/>
    </xf>
    <xf numFmtId="0" fontId="14" fillId="51" borderId="0" xfId="0" applyFont="1" applyFill="1" applyAlignment="1">
      <alignment/>
    </xf>
    <xf numFmtId="0" fontId="0" fillId="51" borderId="0" xfId="0" applyFont="1" applyFill="1" applyAlignment="1">
      <alignment/>
    </xf>
    <xf numFmtId="0" fontId="0" fillId="51" borderId="28" xfId="0" applyFill="1" applyBorder="1" applyAlignment="1">
      <alignment/>
    </xf>
    <xf numFmtId="0" fontId="0" fillId="51" borderId="0" xfId="0" applyFont="1" applyFill="1" applyAlignment="1">
      <alignment horizontal="left"/>
    </xf>
    <xf numFmtId="0" fontId="2" fillId="51" borderId="0" xfId="0" applyFont="1" applyFill="1" applyAlignment="1">
      <alignment horizontal="left"/>
    </xf>
    <xf numFmtId="0" fontId="1" fillId="51" borderId="0" xfId="0" applyFont="1" applyFill="1" applyAlignment="1">
      <alignment/>
    </xf>
    <xf numFmtId="0" fontId="17" fillId="50" borderId="0" xfId="0" applyFont="1" applyFill="1" applyAlignment="1">
      <alignment/>
    </xf>
    <xf numFmtId="43" fontId="5" fillId="50" borderId="0" xfId="0" applyNumberFormat="1" applyFont="1" applyFill="1" applyAlignment="1">
      <alignment/>
    </xf>
    <xf numFmtId="0" fontId="1" fillId="50" borderId="36" xfId="0" applyFont="1" applyFill="1" applyBorder="1" applyAlignment="1">
      <alignment/>
    </xf>
    <xf numFmtId="0" fontId="0" fillId="50" borderId="39" xfId="0" applyFill="1" applyBorder="1" applyAlignment="1">
      <alignment/>
    </xf>
    <xf numFmtId="0" fontId="1" fillId="50" borderId="19" xfId="0" applyFont="1" applyFill="1" applyBorder="1" applyAlignment="1">
      <alignment/>
    </xf>
    <xf numFmtId="0" fontId="1" fillId="50" borderId="19" xfId="0" applyFont="1" applyFill="1" applyBorder="1" applyAlignment="1">
      <alignment horizontal="center"/>
    </xf>
    <xf numFmtId="43" fontId="0" fillId="50" borderId="19" xfId="77" applyFill="1" applyBorder="1" applyAlignment="1">
      <alignment/>
    </xf>
    <xf numFmtId="9" fontId="0" fillId="50" borderId="19" xfId="0" applyNumberFormat="1" applyFill="1" applyBorder="1" applyAlignment="1">
      <alignment/>
    </xf>
    <xf numFmtId="10" fontId="0" fillId="50" borderId="19" xfId="0" applyNumberFormat="1" applyFill="1" applyBorder="1" applyAlignment="1">
      <alignment/>
    </xf>
    <xf numFmtId="0" fontId="0" fillId="50" borderId="40" xfId="0" applyFill="1" applyBorder="1" applyAlignment="1">
      <alignment/>
    </xf>
    <xf numFmtId="0" fontId="0" fillId="50" borderId="20" xfId="0" applyFill="1" applyBorder="1" applyAlignment="1">
      <alignment/>
    </xf>
    <xf numFmtId="0" fontId="0" fillId="50" borderId="21" xfId="0" applyFill="1" applyBorder="1" applyAlignment="1">
      <alignment/>
    </xf>
    <xf numFmtId="0" fontId="0" fillId="50" borderId="25" xfId="0" applyFill="1" applyBorder="1" applyAlignment="1">
      <alignment/>
    </xf>
    <xf numFmtId="0" fontId="17" fillId="50" borderId="36" xfId="0" applyFont="1" applyFill="1" applyBorder="1" applyAlignment="1">
      <alignment/>
    </xf>
    <xf numFmtId="43" fontId="5" fillId="50" borderId="19" xfId="77" applyFont="1" applyFill="1" applyBorder="1" applyAlignment="1">
      <alignment/>
    </xf>
    <xf numFmtId="0" fontId="0" fillId="50" borderId="38" xfId="0" applyFill="1" applyBorder="1" applyAlignment="1" applyProtection="1">
      <alignment/>
      <protection/>
    </xf>
    <xf numFmtId="43" fontId="0" fillId="16" borderId="19" xfId="77" applyFont="1" applyFill="1" applyBorder="1" applyAlignment="1" applyProtection="1">
      <alignment horizontal="center"/>
      <protection locked="0"/>
    </xf>
    <xf numFmtId="43" fontId="0" fillId="50" borderId="19" xfId="0" applyNumberFormat="1" applyFill="1" applyBorder="1" applyAlignment="1" applyProtection="1">
      <alignment/>
      <protection/>
    </xf>
    <xf numFmtId="0" fontId="9" fillId="51" borderId="0" xfId="0" applyFont="1" applyFill="1" applyAlignment="1">
      <alignment horizontal="center"/>
    </xf>
    <xf numFmtId="0" fontId="5" fillId="51" borderId="0" xfId="0" applyFont="1" applyFill="1" applyAlignment="1">
      <alignment horizontal="left"/>
    </xf>
    <xf numFmtId="0" fontId="0" fillId="51" borderId="0" xfId="0" applyFill="1" applyAlignment="1">
      <alignment horizontal="right"/>
    </xf>
    <xf numFmtId="0" fontId="6" fillId="51" borderId="0" xfId="0" applyFont="1" applyFill="1" applyAlignment="1">
      <alignment horizontal="right"/>
    </xf>
    <xf numFmtId="0" fontId="0" fillId="29" borderId="41" xfId="0" applyFill="1" applyBorder="1" applyAlignment="1">
      <alignment/>
    </xf>
    <xf numFmtId="0" fontId="19" fillId="29" borderId="21" xfId="0" applyFont="1" applyFill="1" applyBorder="1" applyAlignment="1">
      <alignment/>
    </xf>
    <xf numFmtId="0" fontId="3" fillId="29" borderId="21" xfId="0" applyFont="1" applyFill="1" applyBorder="1" applyAlignment="1">
      <alignment/>
    </xf>
    <xf numFmtId="0" fontId="3" fillId="29" borderId="20" xfId="0" applyFont="1" applyFill="1" applyBorder="1" applyAlignment="1">
      <alignment/>
    </xf>
    <xf numFmtId="0" fontId="3" fillId="29" borderId="20" xfId="0" applyFont="1" applyFill="1" applyBorder="1" applyAlignment="1">
      <alignment/>
    </xf>
    <xf numFmtId="0" fontId="1" fillId="29" borderId="21" xfId="0" applyFont="1" applyFill="1" applyBorder="1" applyAlignment="1">
      <alignment/>
    </xf>
    <xf numFmtId="0" fontId="0" fillId="29" borderId="40" xfId="0" applyFill="1" applyBorder="1" applyAlignment="1">
      <alignment/>
    </xf>
    <xf numFmtId="0" fontId="3" fillId="29" borderId="22" xfId="0" applyFont="1" applyFill="1" applyBorder="1" applyAlignment="1">
      <alignment/>
    </xf>
    <xf numFmtId="0" fontId="3" fillId="29" borderId="0" xfId="0" applyFont="1" applyFill="1" applyBorder="1" applyAlignment="1">
      <alignment/>
    </xf>
    <xf numFmtId="0" fontId="19" fillId="29" borderId="0" xfId="0" applyFont="1" applyFill="1" applyBorder="1" applyAlignment="1">
      <alignment/>
    </xf>
    <xf numFmtId="0" fontId="19" fillId="29" borderId="0" xfId="0" applyFont="1" applyFill="1" applyBorder="1" applyAlignment="1">
      <alignment/>
    </xf>
    <xf numFmtId="0" fontId="3" fillId="29" borderId="27" xfId="0" applyFont="1" applyFill="1" applyBorder="1" applyAlignment="1">
      <alignment/>
    </xf>
    <xf numFmtId="0" fontId="0" fillId="29" borderId="38" xfId="0" applyFill="1" applyBorder="1" applyAlignment="1">
      <alignment horizontal="center"/>
    </xf>
    <xf numFmtId="0" fontId="0" fillId="29" borderId="28" xfId="0" applyFill="1" applyBorder="1" applyAlignment="1">
      <alignment horizontal="center"/>
    </xf>
    <xf numFmtId="0" fontId="1" fillId="29" borderId="20" xfId="0" applyFont="1" applyFill="1" applyBorder="1" applyAlignment="1">
      <alignment/>
    </xf>
    <xf numFmtId="14" fontId="19" fillId="29" borderId="0" xfId="0" applyNumberFormat="1" applyFont="1" applyFill="1" applyBorder="1" applyAlignment="1" quotePrefix="1">
      <alignment/>
    </xf>
    <xf numFmtId="0" fontId="1" fillId="29" borderId="0" xfId="0" applyFont="1" applyFill="1" applyBorder="1" applyAlignment="1">
      <alignment/>
    </xf>
    <xf numFmtId="0" fontId="0" fillId="29" borderId="37" xfId="0" applyFill="1" applyBorder="1" applyAlignment="1">
      <alignment/>
    </xf>
    <xf numFmtId="0" fontId="19" fillId="29" borderId="0" xfId="0" applyFont="1" applyFill="1" applyBorder="1" applyAlignment="1" quotePrefix="1">
      <alignment/>
    </xf>
    <xf numFmtId="43" fontId="0" fillId="29" borderId="26" xfId="77" applyFill="1" applyBorder="1" applyAlignment="1">
      <alignment/>
    </xf>
    <xf numFmtId="0" fontId="19" fillId="29" borderId="23" xfId="0" applyFont="1" applyFill="1" applyBorder="1" applyAlignment="1" quotePrefix="1">
      <alignment/>
    </xf>
    <xf numFmtId="0" fontId="19" fillId="29" borderId="23" xfId="0" applyFont="1" applyFill="1" applyBorder="1" applyAlignment="1">
      <alignment/>
    </xf>
    <xf numFmtId="0" fontId="3" fillId="29" borderId="0" xfId="0" applyFont="1" applyFill="1" applyBorder="1" applyAlignment="1">
      <alignment horizontal="right"/>
    </xf>
    <xf numFmtId="0" fontId="19" fillId="29" borderId="0" xfId="0" applyFont="1" applyFill="1" applyBorder="1" applyAlignment="1">
      <alignment horizontal="left"/>
    </xf>
    <xf numFmtId="0" fontId="0" fillId="50" borderId="0" xfId="0" applyFill="1" applyBorder="1" applyAlignment="1">
      <alignment horizontal="right"/>
    </xf>
    <xf numFmtId="14" fontId="19" fillId="50" borderId="26" xfId="0" applyNumberFormat="1" applyFont="1" applyFill="1" applyBorder="1" applyAlignment="1">
      <alignment horizontal="center"/>
    </xf>
    <xf numFmtId="0" fontId="3" fillId="29" borderId="23" xfId="0" applyFont="1" applyFill="1" applyBorder="1" applyAlignment="1">
      <alignment/>
    </xf>
    <xf numFmtId="0" fontId="3" fillId="50" borderId="23" xfId="0" applyFont="1" applyFill="1" applyBorder="1" applyAlignment="1">
      <alignment horizontal="right"/>
    </xf>
    <xf numFmtId="0" fontId="19" fillId="50" borderId="23" xfId="0" applyFont="1" applyFill="1" applyBorder="1" applyAlignment="1">
      <alignment horizontal="center"/>
    </xf>
    <xf numFmtId="0" fontId="3" fillId="29" borderId="28" xfId="0" applyFont="1" applyFill="1" applyBorder="1" applyAlignment="1">
      <alignment/>
    </xf>
    <xf numFmtId="0" fontId="3" fillId="29" borderId="41" xfId="0" applyFont="1" applyFill="1" applyBorder="1" applyAlignment="1">
      <alignment/>
    </xf>
    <xf numFmtId="0" fontId="0" fillId="29" borderId="38" xfId="0" applyFill="1" applyBorder="1" applyAlignment="1">
      <alignment/>
    </xf>
    <xf numFmtId="43" fontId="0" fillId="29" borderId="28" xfId="77" applyFill="1" applyBorder="1" applyAlignment="1">
      <alignment/>
    </xf>
    <xf numFmtId="0" fontId="0" fillId="29" borderId="0" xfId="0" applyFill="1" applyBorder="1" applyAlignment="1">
      <alignment horizontal="center"/>
    </xf>
    <xf numFmtId="0" fontId="3" fillId="29" borderId="21" xfId="0" applyFont="1" applyFill="1" applyBorder="1" applyAlignment="1">
      <alignment/>
    </xf>
    <xf numFmtId="0" fontId="0" fillId="29" borderId="23" xfId="0" applyFill="1" applyBorder="1" applyAlignment="1">
      <alignment horizontal="center"/>
    </xf>
    <xf numFmtId="0" fontId="0" fillId="29" borderId="42" xfId="0" applyFill="1" applyBorder="1" applyAlignment="1">
      <alignment/>
    </xf>
    <xf numFmtId="0" fontId="0" fillId="29" borderId="43" xfId="0" applyFill="1" applyBorder="1" applyAlignment="1">
      <alignment/>
    </xf>
    <xf numFmtId="0" fontId="0" fillId="29" borderId="44" xfId="0" applyFill="1" applyBorder="1" applyAlignment="1">
      <alignment/>
    </xf>
    <xf numFmtId="0" fontId="0" fillId="29" borderId="45" xfId="0" applyFill="1" applyBorder="1" applyAlignment="1">
      <alignment/>
    </xf>
    <xf numFmtId="0" fontId="0" fillId="29" borderId="46" xfId="0" applyFill="1" applyBorder="1" applyAlignment="1">
      <alignment/>
    </xf>
    <xf numFmtId="0" fontId="0" fillId="29" borderId="47" xfId="0" applyFill="1" applyBorder="1" applyAlignment="1">
      <alignment/>
    </xf>
    <xf numFmtId="0" fontId="3" fillId="29" borderId="48" xfId="0" applyFont="1" applyFill="1" applyBorder="1" applyAlignment="1">
      <alignment/>
    </xf>
    <xf numFmtId="0" fontId="3" fillId="29" borderId="49" xfId="0" applyFont="1" applyFill="1" applyBorder="1" applyAlignment="1">
      <alignment/>
    </xf>
    <xf numFmtId="0" fontId="3" fillId="29" borderId="47" xfId="0" applyFont="1" applyFill="1" applyBorder="1" applyAlignment="1">
      <alignment/>
    </xf>
    <xf numFmtId="0" fontId="0" fillId="0" borderId="0" xfId="0" applyBorder="1" applyAlignment="1">
      <alignment/>
    </xf>
    <xf numFmtId="0" fontId="3" fillId="29" borderId="49" xfId="0" applyFont="1" applyFill="1" applyBorder="1" applyAlignment="1">
      <alignment/>
    </xf>
    <xf numFmtId="0" fontId="0" fillId="29" borderId="48" xfId="0" applyFill="1" applyBorder="1" applyAlignment="1">
      <alignment/>
    </xf>
    <xf numFmtId="0" fontId="19" fillId="29" borderId="48" xfId="0" applyFont="1" applyFill="1" applyBorder="1" applyAlignment="1">
      <alignment/>
    </xf>
    <xf numFmtId="14" fontId="3" fillId="29" borderId="0" xfId="0" applyNumberFormat="1" applyFont="1" applyFill="1" applyBorder="1" applyAlignment="1">
      <alignment/>
    </xf>
    <xf numFmtId="43" fontId="0" fillId="29" borderId="0" xfId="0" applyNumberFormat="1" applyFill="1" applyBorder="1" applyAlignment="1">
      <alignment/>
    </xf>
    <xf numFmtId="14" fontId="19" fillId="29" borderId="0" xfId="0" applyNumberFormat="1" applyFont="1" applyFill="1" applyBorder="1" applyAlignment="1">
      <alignment/>
    </xf>
    <xf numFmtId="0" fontId="0" fillId="29" borderId="50" xfId="0" applyFill="1" applyBorder="1" applyAlignment="1">
      <alignment/>
    </xf>
    <xf numFmtId="0" fontId="5" fillId="48" borderId="0" xfId="0" applyFont="1" applyFill="1" applyBorder="1" applyAlignment="1">
      <alignment/>
    </xf>
    <xf numFmtId="1" fontId="21" fillId="50" borderId="19" xfId="0" applyNumberFormat="1" applyFont="1" applyFill="1" applyBorder="1" applyAlignment="1" applyProtection="1">
      <alignment horizontal="left"/>
      <protection/>
    </xf>
    <xf numFmtId="0" fontId="22" fillId="49" borderId="0" xfId="0" applyFont="1" applyFill="1" applyAlignment="1" applyProtection="1">
      <alignment horizontal="left"/>
      <protection/>
    </xf>
    <xf numFmtId="0" fontId="23" fillId="49" borderId="0" xfId="0" applyFont="1" applyFill="1" applyAlignment="1">
      <alignment/>
    </xf>
    <xf numFmtId="0" fontId="24" fillId="49" borderId="0" xfId="0" applyFont="1" applyFill="1" applyAlignment="1" applyProtection="1">
      <alignment horizontal="left"/>
      <protection/>
    </xf>
    <xf numFmtId="0" fontId="23" fillId="0" borderId="0" xfId="0" applyFont="1" applyAlignment="1">
      <alignment/>
    </xf>
    <xf numFmtId="0" fontId="20" fillId="49" borderId="0" xfId="0" applyFont="1" applyFill="1" applyAlignment="1">
      <alignment/>
    </xf>
    <xf numFmtId="0" fontId="21" fillId="50" borderId="0" xfId="0" applyFont="1" applyFill="1" applyAlignment="1" applyProtection="1">
      <alignment horizontal="left"/>
      <protection/>
    </xf>
    <xf numFmtId="0" fontId="1" fillId="50" borderId="0" xfId="0" applyFont="1" applyFill="1" applyAlignment="1">
      <alignment horizontal="center"/>
    </xf>
    <xf numFmtId="0" fontId="21" fillId="51" borderId="0" xfId="0" applyFont="1" applyFill="1" applyAlignment="1" applyProtection="1">
      <alignment horizontal="left"/>
      <protection/>
    </xf>
    <xf numFmtId="176" fontId="0" fillId="16" borderId="19" xfId="0" applyNumberFormat="1" applyFill="1" applyBorder="1" applyAlignment="1" applyProtection="1">
      <alignment/>
      <protection locked="0"/>
    </xf>
    <xf numFmtId="0" fontId="1" fillId="51" borderId="39" xfId="0" applyFont="1" applyFill="1" applyBorder="1" applyAlignment="1">
      <alignment/>
    </xf>
    <xf numFmtId="172" fontId="0" fillId="50" borderId="19" xfId="71" applyFill="1" applyBorder="1" applyAlignment="1">
      <alignment/>
    </xf>
    <xf numFmtId="44" fontId="0" fillId="16" borderId="19" xfId="77" applyNumberFormat="1" applyFill="1" applyBorder="1" applyAlignment="1" applyProtection="1">
      <alignment/>
      <protection locked="0"/>
    </xf>
    <xf numFmtId="0" fontId="1" fillId="51" borderId="39" xfId="0" applyFont="1" applyFill="1" applyBorder="1" applyAlignment="1">
      <alignment horizontal="center"/>
    </xf>
    <xf numFmtId="0" fontId="1" fillId="51" borderId="19" xfId="0" applyFont="1" applyFill="1" applyBorder="1" applyAlignment="1">
      <alignment/>
    </xf>
    <xf numFmtId="43" fontId="0" fillId="51" borderId="0" xfId="77" applyFill="1" applyAlignment="1">
      <alignment/>
    </xf>
    <xf numFmtId="0" fontId="0" fillId="50" borderId="36" xfId="0" applyFill="1" applyBorder="1" applyAlignment="1">
      <alignment/>
    </xf>
    <xf numFmtId="0" fontId="1" fillId="22" borderId="40" xfId="0" applyFont="1" applyFill="1" applyBorder="1" applyAlignment="1" applyProtection="1">
      <alignment horizontal="center"/>
      <protection/>
    </xf>
    <xf numFmtId="0" fontId="1" fillId="22" borderId="22" xfId="0" applyFont="1" applyFill="1" applyBorder="1" applyAlignment="1" applyProtection="1">
      <alignment horizontal="center"/>
      <protection/>
    </xf>
    <xf numFmtId="0" fontId="1" fillId="22" borderId="37" xfId="0" applyFont="1" applyFill="1" applyBorder="1" applyAlignment="1" applyProtection="1">
      <alignment horizontal="center"/>
      <protection/>
    </xf>
    <xf numFmtId="0" fontId="1" fillId="22" borderId="20" xfId="0" applyFont="1" applyFill="1" applyBorder="1" applyAlignment="1" applyProtection="1">
      <alignment horizontal="left"/>
      <protection/>
    </xf>
    <xf numFmtId="0" fontId="1" fillId="22" borderId="25" xfId="0" applyFont="1" applyFill="1" applyBorder="1" applyAlignment="1" applyProtection="1">
      <alignment horizontal="center"/>
      <protection/>
    </xf>
    <xf numFmtId="0" fontId="1" fillId="22" borderId="38" xfId="0" applyFont="1" applyFill="1" applyBorder="1" applyAlignment="1" applyProtection="1">
      <alignment horizontal="center"/>
      <protection/>
    </xf>
    <xf numFmtId="0" fontId="1" fillId="22" borderId="27" xfId="0" applyFont="1" applyFill="1" applyBorder="1" applyAlignment="1" applyProtection="1">
      <alignment horizontal="center"/>
      <protection/>
    </xf>
    <xf numFmtId="9" fontId="1" fillId="22" borderId="27" xfId="0" applyNumberFormat="1" applyFont="1" applyFill="1" applyBorder="1" applyAlignment="1" applyProtection="1">
      <alignment horizontal="center"/>
      <protection/>
    </xf>
    <xf numFmtId="0" fontId="1" fillId="22" borderId="38" xfId="0" applyFont="1" applyFill="1" applyBorder="1" applyAlignment="1" applyProtection="1">
      <alignment horizontal="left"/>
      <protection/>
    </xf>
    <xf numFmtId="0" fontId="1" fillId="36" borderId="38" xfId="0" applyFont="1" applyFill="1" applyBorder="1" applyAlignment="1" applyProtection="1">
      <alignment horizontal="center"/>
      <protection/>
    </xf>
    <xf numFmtId="1" fontId="5" fillId="51" borderId="19" xfId="0" applyNumberFormat="1" applyFont="1" applyFill="1" applyBorder="1" applyAlignment="1" applyProtection="1">
      <alignment horizontal="left"/>
      <protection/>
    </xf>
    <xf numFmtId="43" fontId="3" fillId="51" borderId="0" xfId="0" applyNumberFormat="1" applyFont="1" applyFill="1" applyAlignment="1">
      <alignment/>
    </xf>
    <xf numFmtId="174" fontId="3" fillId="51" borderId="0" xfId="0" applyNumberFormat="1" applyFont="1" applyFill="1" applyAlignment="1">
      <alignment/>
    </xf>
    <xf numFmtId="0" fontId="0" fillId="57" borderId="19" xfId="0" applyFill="1" applyBorder="1" applyAlignment="1">
      <alignment/>
    </xf>
    <xf numFmtId="0" fontId="0" fillId="16" borderId="19" xfId="0" applyFill="1" applyBorder="1" applyAlignment="1" applyProtection="1">
      <alignment/>
      <protection locked="0"/>
    </xf>
    <xf numFmtId="43" fontId="0" fillId="16" borderId="19" xfId="77" applyFill="1" applyBorder="1" applyAlignment="1" applyProtection="1">
      <alignment/>
      <protection locked="0"/>
    </xf>
    <xf numFmtId="43" fontId="0" fillId="50" borderId="19" xfId="77" applyFill="1" applyBorder="1" applyAlignment="1" applyProtection="1">
      <alignment/>
      <protection/>
    </xf>
    <xf numFmtId="1" fontId="0" fillId="53" borderId="19" xfId="0" applyNumberFormat="1" applyFill="1" applyBorder="1" applyAlignment="1" applyProtection="1">
      <alignment horizontal="center"/>
      <protection locked="0"/>
    </xf>
    <xf numFmtId="43" fontId="1" fillId="50" borderId="19" xfId="77" applyFont="1" applyFill="1" applyBorder="1" applyAlignment="1">
      <alignment/>
    </xf>
    <xf numFmtId="0" fontId="0" fillId="51" borderId="0" xfId="0" applyFill="1" applyAlignment="1" applyProtection="1">
      <alignment/>
      <protection locked="0"/>
    </xf>
    <xf numFmtId="1" fontId="0" fillId="50" borderId="19" xfId="0" applyNumberFormat="1" applyFill="1" applyBorder="1" applyAlignment="1">
      <alignment/>
    </xf>
    <xf numFmtId="43" fontId="0" fillId="50" borderId="24" xfId="77" applyFill="1" applyBorder="1" applyAlignment="1" applyProtection="1">
      <alignment/>
      <protection/>
    </xf>
    <xf numFmtId="43" fontId="21" fillId="50" borderId="19" xfId="77" applyFont="1" applyFill="1" applyBorder="1" applyAlignment="1">
      <alignment/>
    </xf>
    <xf numFmtId="43" fontId="0" fillId="50" borderId="19" xfId="77" applyFont="1" applyFill="1" applyBorder="1" applyAlignment="1">
      <alignment/>
    </xf>
    <xf numFmtId="0" fontId="0" fillId="50" borderId="0" xfId="0" applyFill="1" applyBorder="1" applyAlignment="1">
      <alignment/>
    </xf>
    <xf numFmtId="43" fontId="0" fillId="50" borderId="19" xfId="0" applyNumberFormat="1" applyFill="1" applyBorder="1" applyAlignment="1">
      <alignment/>
    </xf>
    <xf numFmtId="0" fontId="0" fillId="50" borderId="20" xfId="0" applyFill="1" applyBorder="1" applyAlignment="1" applyProtection="1">
      <alignment horizontal="left"/>
      <protection/>
    </xf>
    <xf numFmtId="0" fontId="0" fillId="50" borderId="21" xfId="0" applyFill="1" applyBorder="1" applyAlignment="1">
      <alignment horizontal="left"/>
    </xf>
    <xf numFmtId="0" fontId="0" fillId="50" borderId="25" xfId="0" applyFill="1" applyBorder="1" applyAlignment="1">
      <alignment horizontal="left"/>
    </xf>
    <xf numFmtId="0" fontId="0" fillId="50" borderId="27" xfId="0" applyFill="1" applyBorder="1" applyAlignment="1" applyProtection="1">
      <alignment horizontal="left"/>
      <protection/>
    </xf>
    <xf numFmtId="166" fontId="0" fillId="50" borderId="23" xfId="78" applyNumberFormat="1" applyFill="1" applyBorder="1" applyAlignment="1" applyProtection="1">
      <alignment horizontal="left"/>
      <protection/>
    </xf>
    <xf numFmtId="0" fontId="0" fillId="50" borderId="28" xfId="0" applyFill="1" applyBorder="1" applyAlignment="1" applyProtection="1">
      <alignment horizontal="left"/>
      <protection/>
    </xf>
    <xf numFmtId="0" fontId="0" fillId="50" borderId="37" xfId="0" applyFill="1" applyBorder="1" applyAlignment="1" applyProtection="1">
      <alignment horizontal="center"/>
      <protection/>
    </xf>
    <xf numFmtId="167" fontId="0" fillId="50" borderId="40" xfId="0" applyNumberFormat="1" applyFill="1" applyBorder="1" applyAlignment="1" applyProtection="1">
      <alignment/>
      <protection/>
    </xf>
    <xf numFmtId="167" fontId="0" fillId="50" borderId="37" xfId="0" applyNumberFormat="1" applyFill="1" applyBorder="1" applyAlignment="1" applyProtection="1">
      <alignment/>
      <protection/>
    </xf>
    <xf numFmtId="0" fontId="0" fillId="50" borderId="37" xfId="0" applyFill="1" applyBorder="1" applyAlignment="1" applyProtection="1">
      <alignment/>
      <protection/>
    </xf>
    <xf numFmtId="0" fontId="0" fillId="50" borderId="0" xfId="0" applyFill="1" applyBorder="1" applyAlignment="1" applyProtection="1">
      <alignment/>
      <protection/>
    </xf>
    <xf numFmtId="0" fontId="5" fillId="50" borderId="0" xfId="0" applyFont="1" applyFill="1" applyBorder="1" applyAlignment="1" applyProtection="1">
      <alignment/>
      <protection/>
    </xf>
    <xf numFmtId="0" fontId="0" fillId="50" borderId="38" xfId="0" applyFill="1" applyBorder="1" applyAlignment="1" applyProtection="1">
      <alignment horizontal="center"/>
      <protection/>
    </xf>
    <xf numFmtId="0" fontId="0" fillId="50" borderId="19" xfId="0" applyFill="1" applyBorder="1" applyAlignment="1" applyProtection="1">
      <alignment/>
      <protection/>
    </xf>
    <xf numFmtId="179" fontId="0" fillId="16" borderId="19" xfId="77" applyNumberFormat="1" applyFont="1" applyFill="1" applyBorder="1" applyAlignment="1" applyProtection="1">
      <alignment horizontal="center"/>
      <protection locked="0"/>
    </xf>
    <xf numFmtId="179" fontId="0" fillId="50" borderId="19" xfId="0" applyNumberFormat="1" applyFill="1" applyBorder="1" applyAlignment="1">
      <alignment/>
    </xf>
    <xf numFmtId="1" fontId="0" fillId="50" borderId="19" xfId="0" applyNumberFormat="1" applyFill="1" applyBorder="1" applyAlignment="1" applyProtection="1">
      <alignment/>
      <protection/>
    </xf>
    <xf numFmtId="41" fontId="0" fillId="50" borderId="19" xfId="78" applyFill="1" applyBorder="1" applyAlignment="1" applyProtection="1">
      <alignment/>
      <protection/>
    </xf>
    <xf numFmtId="0" fontId="1" fillId="50" borderId="39" xfId="0" applyFont="1" applyFill="1" applyBorder="1" applyAlignment="1">
      <alignment/>
    </xf>
    <xf numFmtId="0" fontId="1" fillId="50" borderId="24" xfId="0" applyFont="1" applyFill="1" applyBorder="1" applyAlignment="1">
      <alignment/>
    </xf>
    <xf numFmtId="0" fontId="1" fillId="50" borderId="19" xfId="78" applyNumberFormat="1" applyFont="1" applyFill="1" applyBorder="1" applyAlignment="1" applyProtection="1">
      <alignment/>
      <protection/>
    </xf>
    <xf numFmtId="41" fontId="1" fillId="50" borderId="19" xfId="0" applyNumberFormat="1" applyFont="1" applyFill="1" applyBorder="1" applyAlignment="1" applyProtection="1">
      <alignment/>
      <protection/>
    </xf>
    <xf numFmtId="0" fontId="25" fillId="49" borderId="0" xfId="0" applyFont="1" applyFill="1" applyAlignment="1" applyProtection="1">
      <alignment horizontal="left"/>
      <protection/>
    </xf>
    <xf numFmtId="16" fontId="1" fillId="22" borderId="38" xfId="0" applyNumberFormat="1" applyFont="1" applyFill="1" applyBorder="1" applyAlignment="1" applyProtection="1">
      <alignment horizontal="center"/>
      <protection/>
    </xf>
    <xf numFmtId="0" fontId="24" fillId="49" borderId="36" xfId="0" applyFont="1" applyFill="1" applyBorder="1" applyAlignment="1" applyProtection="1">
      <alignment horizontal="left"/>
      <protection/>
    </xf>
    <xf numFmtId="0" fontId="23" fillId="49" borderId="39" xfId="0" applyFont="1" applyFill="1" applyBorder="1" applyAlignment="1">
      <alignment/>
    </xf>
    <xf numFmtId="0" fontId="23" fillId="49" borderId="24" xfId="0" applyFont="1" applyFill="1" applyBorder="1" applyAlignment="1">
      <alignment/>
    </xf>
    <xf numFmtId="41" fontId="0" fillId="50" borderId="19" xfId="0" applyNumberFormat="1" applyFill="1" applyBorder="1" applyAlignment="1">
      <alignment/>
    </xf>
    <xf numFmtId="41" fontId="0" fillId="50" borderId="36" xfId="0" applyNumberFormat="1" applyFill="1" applyBorder="1" applyAlignment="1">
      <alignment/>
    </xf>
    <xf numFmtId="175" fontId="0" fillId="50" borderId="19" xfId="0" applyNumberFormat="1" applyFill="1" applyBorder="1" applyAlignment="1">
      <alignment/>
    </xf>
    <xf numFmtId="0" fontId="26" fillId="50" borderId="0" xfId="0" applyFont="1" applyFill="1" applyAlignment="1">
      <alignment horizontal="center"/>
    </xf>
    <xf numFmtId="0" fontId="27" fillId="50" borderId="0" xfId="0" applyFont="1" applyFill="1" applyAlignment="1">
      <alignment horizontal="left"/>
    </xf>
    <xf numFmtId="0" fontId="27" fillId="50" borderId="0" xfId="0" applyFont="1" applyFill="1" applyAlignment="1" quotePrefix="1">
      <alignment horizontal="left"/>
    </xf>
    <xf numFmtId="0" fontId="28" fillId="50" borderId="0" xfId="0" applyFont="1" applyFill="1" applyAlignment="1">
      <alignment horizontal="left"/>
    </xf>
    <xf numFmtId="171" fontId="0" fillId="50" borderId="19" xfId="0" applyNumberFormat="1" applyFill="1" applyBorder="1" applyAlignment="1">
      <alignment/>
    </xf>
    <xf numFmtId="0" fontId="5" fillId="50" borderId="36" xfId="0" applyFont="1" applyFill="1" applyBorder="1" applyAlignment="1">
      <alignment/>
    </xf>
    <xf numFmtId="0" fontId="5" fillId="50" borderId="39" xfId="0" applyFont="1" applyFill="1" applyBorder="1" applyAlignment="1">
      <alignment/>
    </xf>
    <xf numFmtId="0" fontId="5" fillId="50" borderId="24" xfId="0" applyFont="1" applyFill="1" applyBorder="1" applyAlignment="1">
      <alignment/>
    </xf>
    <xf numFmtId="43" fontId="0" fillId="50" borderId="19" xfId="77" applyFont="1" applyFill="1" applyBorder="1" applyAlignment="1">
      <alignment/>
    </xf>
    <xf numFmtId="0" fontId="0" fillId="57" borderId="0" xfId="0" applyFill="1" applyAlignment="1" applyProtection="1">
      <alignment horizontal="left"/>
      <protection/>
    </xf>
    <xf numFmtId="10" fontId="5" fillId="50" borderId="19" xfId="77" applyNumberFormat="1" applyFont="1" applyFill="1" applyBorder="1" applyAlignment="1">
      <alignment horizontal="center"/>
    </xf>
    <xf numFmtId="0" fontId="28" fillId="50" borderId="0" xfId="0" applyFont="1" applyFill="1" applyBorder="1" applyAlignment="1">
      <alignment horizontal="left"/>
    </xf>
    <xf numFmtId="0" fontId="27" fillId="50" borderId="0" xfId="0" applyFont="1" applyFill="1" applyBorder="1" applyAlignment="1">
      <alignment horizontal="left"/>
    </xf>
    <xf numFmtId="0" fontId="29" fillId="50" borderId="0" xfId="0" applyFont="1" applyFill="1" applyBorder="1" applyAlignment="1">
      <alignment horizontal="left"/>
    </xf>
    <xf numFmtId="0" fontId="1" fillId="50" borderId="19" xfId="0" applyFont="1" applyFill="1" applyBorder="1" applyAlignment="1" applyProtection="1">
      <alignment/>
      <protection/>
    </xf>
    <xf numFmtId="0" fontId="0" fillId="50" borderId="19" xfId="0" applyFill="1" applyBorder="1" applyAlignment="1" applyProtection="1">
      <alignment horizontal="center"/>
      <protection/>
    </xf>
    <xf numFmtId="166" fontId="0" fillId="50" borderId="19" xfId="0" applyNumberFormat="1" applyFill="1" applyBorder="1" applyAlignment="1" applyProtection="1">
      <alignment horizontal="center"/>
      <protection/>
    </xf>
    <xf numFmtId="1" fontId="0" fillId="50" borderId="19" xfId="0" applyNumberFormat="1" applyFill="1" applyBorder="1" applyAlignment="1" applyProtection="1">
      <alignment horizontal="center"/>
      <protection locked="0"/>
    </xf>
    <xf numFmtId="180" fontId="0" fillId="53" borderId="19" xfId="77" applyNumberFormat="1" applyFont="1" applyFill="1" applyBorder="1" applyAlignment="1" applyProtection="1">
      <alignment horizontal="center"/>
      <protection locked="0"/>
    </xf>
    <xf numFmtId="0" fontId="1" fillId="22" borderId="28" xfId="0" applyFont="1" applyFill="1" applyBorder="1" applyAlignment="1" applyProtection="1">
      <alignment horizontal="center"/>
      <protection/>
    </xf>
    <xf numFmtId="0" fontId="1" fillId="22" borderId="27" xfId="0" applyFont="1" applyFill="1" applyBorder="1" applyAlignment="1" applyProtection="1">
      <alignment horizontal="left"/>
      <protection/>
    </xf>
    <xf numFmtId="1" fontId="30" fillId="50" borderId="36" xfId="0" applyNumberFormat="1" applyFont="1" applyFill="1" applyBorder="1" applyAlignment="1">
      <alignment horizontal="center"/>
    </xf>
    <xf numFmtId="0" fontId="30" fillId="50" borderId="24" xfId="0" applyFont="1" applyFill="1" applyBorder="1" applyAlignment="1">
      <alignment/>
    </xf>
    <xf numFmtId="0" fontId="31" fillId="51" borderId="0" xfId="0" applyFont="1" applyFill="1" applyAlignment="1">
      <alignment/>
    </xf>
    <xf numFmtId="0" fontId="30" fillId="51" borderId="0" xfId="0" applyFont="1" applyFill="1" applyAlignment="1">
      <alignment/>
    </xf>
    <xf numFmtId="0" fontId="30" fillId="50" borderId="36" xfId="0" applyFont="1" applyFill="1" applyBorder="1" applyAlignment="1">
      <alignment/>
    </xf>
    <xf numFmtId="0" fontId="24" fillId="49" borderId="0" xfId="0" applyFont="1" applyFill="1" applyAlignment="1">
      <alignment/>
    </xf>
    <xf numFmtId="1" fontId="0" fillId="16" borderId="19" xfId="0" applyNumberFormat="1" applyFill="1" applyBorder="1" applyAlignment="1" applyProtection="1">
      <alignment/>
      <protection locked="0"/>
    </xf>
    <xf numFmtId="0" fontId="0" fillId="50" borderId="28" xfId="0" applyFill="1" applyBorder="1" applyAlignment="1">
      <alignment/>
    </xf>
    <xf numFmtId="0" fontId="0" fillId="56" borderId="20" xfId="0" applyFill="1" applyBorder="1" applyAlignment="1">
      <alignment/>
    </xf>
    <xf numFmtId="0" fontId="0" fillId="56" borderId="25" xfId="0" applyFill="1" applyBorder="1" applyAlignment="1">
      <alignment/>
    </xf>
    <xf numFmtId="43" fontId="3" fillId="51" borderId="0" xfId="0" applyNumberFormat="1" applyFont="1" applyFill="1" applyAlignment="1" applyProtection="1">
      <alignment/>
      <protection/>
    </xf>
    <xf numFmtId="0" fontId="1" fillId="51" borderId="0" xfId="0" applyFont="1" applyFill="1" applyAlignment="1">
      <alignment horizontal="left"/>
    </xf>
    <xf numFmtId="0" fontId="10" fillId="16" borderId="19" xfId="0" applyFont="1" applyFill="1" applyBorder="1" applyAlignment="1" applyProtection="1">
      <alignment horizontal="left"/>
      <protection locked="0"/>
    </xf>
    <xf numFmtId="0" fontId="32" fillId="50" borderId="0" xfId="0" applyFont="1" applyFill="1" applyAlignment="1" applyProtection="1">
      <alignment/>
      <protection/>
    </xf>
    <xf numFmtId="0" fontId="0" fillId="50" borderId="0" xfId="0" applyFont="1" applyFill="1" applyAlignment="1" applyProtection="1">
      <alignment/>
      <protection/>
    </xf>
    <xf numFmtId="0" fontId="2" fillId="50" borderId="19" xfId="0" applyFont="1" applyFill="1" applyBorder="1" applyAlignment="1" applyProtection="1">
      <alignment/>
      <protection/>
    </xf>
    <xf numFmtId="0" fontId="2" fillId="50" borderId="19" xfId="0" applyFont="1" applyFill="1" applyBorder="1" applyAlignment="1" applyProtection="1">
      <alignment horizontal="center"/>
      <protection/>
    </xf>
    <xf numFmtId="0" fontId="0" fillId="50" borderId="19" xfId="0" applyFont="1" applyFill="1" applyBorder="1" applyAlignment="1" applyProtection="1">
      <alignment/>
      <protection/>
    </xf>
    <xf numFmtId="0" fontId="0" fillId="50" borderId="19" xfId="0" applyFont="1" applyFill="1" applyBorder="1" applyAlignment="1" applyProtection="1">
      <alignment horizontal="center"/>
      <protection/>
    </xf>
    <xf numFmtId="0" fontId="10" fillId="50" borderId="35" xfId="0" applyFont="1" applyFill="1" applyBorder="1" applyAlignment="1" applyProtection="1">
      <alignment/>
      <protection/>
    </xf>
    <xf numFmtId="0" fontId="10" fillId="51" borderId="30" xfId="0" applyFont="1" applyFill="1" applyBorder="1" applyAlignment="1" applyProtection="1">
      <alignment/>
      <protection/>
    </xf>
    <xf numFmtId="170" fontId="5" fillId="51" borderId="30" xfId="0" applyNumberFormat="1" applyFont="1" applyFill="1" applyBorder="1" applyAlignment="1" applyProtection="1">
      <alignment horizontal="center"/>
      <protection/>
    </xf>
    <xf numFmtId="170" fontId="5" fillId="51" borderId="31" xfId="0" applyNumberFormat="1" applyFont="1" applyFill="1" applyBorder="1" applyAlignment="1" applyProtection="1">
      <alignment/>
      <protection/>
    </xf>
    <xf numFmtId="0" fontId="10" fillId="51" borderId="35" xfId="0" applyFont="1" applyFill="1" applyBorder="1" applyAlignment="1" applyProtection="1">
      <alignment/>
      <protection/>
    </xf>
    <xf numFmtId="0" fontId="0" fillId="51" borderId="35" xfId="0" applyFill="1" applyBorder="1" applyAlignment="1" applyProtection="1">
      <alignment horizontal="center"/>
      <protection/>
    </xf>
    <xf numFmtId="0" fontId="0" fillId="22" borderId="31" xfId="0" applyFill="1" applyBorder="1" applyAlignment="1" applyProtection="1">
      <alignment/>
      <protection/>
    </xf>
    <xf numFmtId="0" fontId="0" fillId="22" borderId="33" xfId="0" applyFill="1" applyBorder="1" applyAlignment="1" applyProtection="1">
      <alignment/>
      <protection/>
    </xf>
    <xf numFmtId="0" fontId="0" fillId="22" borderId="51" xfId="0" applyFill="1" applyBorder="1" applyAlignment="1" applyProtection="1">
      <alignment/>
      <protection/>
    </xf>
    <xf numFmtId="0" fontId="32" fillId="50" borderId="0" xfId="0" applyFont="1" applyFill="1" applyAlignment="1" applyProtection="1">
      <alignment/>
      <protection locked="0"/>
    </xf>
    <xf numFmtId="10" fontId="0" fillId="48" borderId="19" xfId="0" applyNumberFormat="1" applyFill="1" applyBorder="1" applyAlignment="1" applyProtection="1">
      <alignment horizontal="center"/>
      <protection/>
    </xf>
    <xf numFmtId="0" fontId="0" fillId="50" borderId="26" xfId="0" applyFont="1" applyFill="1" applyBorder="1" applyAlignment="1" applyProtection="1">
      <alignment/>
      <protection/>
    </xf>
    <xf numFmtId="0" fontId="0" fillId="16" borderId="19" xfId="77" applyNumberFormat="1" applyFill="1" applyBorder="1" applyAlignment="1" applyProtection="1">
      <alignment horizontal="center"/>
      <protection/>
    </xf>
    <xf numFmtId="170" fontId="5" fillId="51" borderId="30" xfId="0" applyNumberFormat="1" applyFont="1" applyFill="1" applyBorder="1" applyAlignment="1" applyProtection="1">
      <alignment/>
      <protection/>
    </xf>
    <xf numFmtId="0" fontId="0" fillId="51" borderId="35" xfId="0" applyFill="1" applyBorder="1" applyAlignment="1" applyProtection="1">
      <alignment/>
      <protection/>
    </xf>
    <xf numFmtId="0" fontId="0" fillId="50" borderId="35" xfId="0" applyFill="1" applyBorder="1" applyAlignment="1" applyProtection="1">
      <alignment/>
      <protection/>
    </xf>
    <xf numFmtId="0" fontId="0" fillId="22" borderId="30" xfId="0" applyFill="1" applyBorder="1" applyAlignment="1" applyProtection="1">
      <alignment/>
      <protection/>
    </xf>
    <xf numFmtId="0" fontId="0" fillId="22" borderId="0" xfId="0" applyFill="1" applyBorder="1" applyAlignment="1" applyProtection="1">
      <alignment/>
      <protection/>
    </xf>
    <xf numFmtId="0" fontId="0" fillId="22" borderId="35" xfId="0" applyFill="1" applyBorder="1" applyAlignment="1" applyProtection="1">
      <alignment/>
      <protection/>
    </xf>
    <xf numFmtId="0" fontId="0" fillId="50" borderId="30" xfId="0" applyFill="1" applyBorder="1" applyAlignment="1" applyProtection="1">
      <alignment/>
      <protection/>
    </xf>
    <xf numFmtId="10" fontId="0" fillId="16" borderId="36" xfId="77" applyNumberFormat="1" applyFill="1" applyBorder="1" applyAlignment="1" applyProtection="1">
      <alignment horizontal="center"/>
      <protection locked="0"/>
    </xf>
    <xf numFmtId="0" fontId="0" fillId="50" borderId="0" xfId="0" applyNumberFormat="1" applyFill="1" applyBorder="1" applyAlignment="1" applyProtection="1">
      <alignment/>
      <protection/>
    </xf>
    <xf numFmtId="0" fontId="0" fillId="51" borderId="33" xfId="0" applyFill="1" applyBorder="1" applyAlignment="1" applyProtection="1">
      <alignment/>
      <protection/>
    </xf>
    <xf numFmtId="0" fontId="32" fillId="50" borderId="33" xfId="0" applyFont="1" applyFill="1" applyBorder="1" applyAlignment="1" applyProtection="1">
      <alignment/>
      <protection/>
    </xf>
    <xf numFmtId="0" fontId="32" fillId="50" borderId="51" xfId="0" applyFont="1" applyFill="1" applyBorder="1" applyAlignment="1" applyProtection="1">
      <alignment/>
      <protection/>
    </xf>
    <xf numFmtId="0" fontId="0" fillId="16" borderId="19" xfId="77" applyNumberFormat="1" applyFill="1" applyBorder="1" applyAlignment="1" applyProtection="1">
      <alignment horizontal="center"/>
      <protection locked="0"/>
    </xf>
    <xf numFmtId="0" fontId="0" fillId="48" borderId="19" xfId="0" applyNumberFormat="1" applyFill="1" applyBorder="1" applyAlignment="1" applyProtection="1">
      <alignment horizontal="center"/>
      <protection/>
    </xf>
    <xf numFmtId="0" fontId="0" fillId="50" borderId="39" xfId="0" applyFill="1" applyBorder="1" applyAlignment="1" applyProtection="1">
      <alignment/>
      <protection/>
    </xf>
    <xf numFmtId="43" fontId="0" fillId="50" borderId="39" xfId="77" applyFill="1" applyBorder="1" applyAlignment="1" applyProtection="1">
      <alignment/>
      <protection/>
    </xf>
    <xf numFmtId="41" fontId="0" fillId="50" borderId="24" xfId="0" applyNumberFormat="1" applyFill="1" applyBorder="1" applyAlignment="1" applyProtection="1">
      <alignment/>
      <protection/>
    </xf>
    <xf numFmtId="174" fontId="0" fillId="50" borderId="19" xfId="77" applyNumberFormat="1" applyFill="1" applyBorder="1" applyAlignment="1" applyProtection="1">
      <alignment/>
      <protection/>
    </xf>
    <xf numFmtId="41" fontId="0" fillId="50" borderId="19" xfId="0" applyNumberFormat="1" applyFill="1" applyBorder="1" applyAlignment="1" applyProtection="1">
      <alignment/>
      <protection/>
    </xf>
    <xf numFmtId="174" fontId="0" fillId="50" borderId="0" xfId="77" applyNumberFormat="1" applyFill="1" applyBorder="1" applyAlignment="1" applyProtection="1">
      <alignment/>
      <protection/>
    </xf>
    <xf numFmtId="0" fontId="0" fillId="50" borderId="19" xfId="77" applyNumberFormat="1" applyFill="1" applyBorder="1" applyAlignment="1" applyProtection="1">
      <alignment/>
      <protection/>
    </xf>
    <xf numFmtId="0" fontId="0" fillId="50" borderId="24" xfId="77" applyNumberFormat="1" applyFill="1" applyBorder="1" applyAlignment="1" applyProtection="1">
      <alignment/>
      <protection/>
    </xf>
    <xf numFmtId="43" fontId="0" fillId="50" borderId="0" xfId="77" applyFill="1" applyAlignment="1" applyProtection="1">
      <alignment/>
      <protection/>
    </xf>
    <xf numFmtId="43" fontId="0" fillId="50" borderId="19" xfId="77" applyNumberFormat="1" applyFill="1" applyBorder="1" applyAlignment="1" applyProtection="1">
      <alignment/>
      <protection/>
    </xf>
    <xf numFmtId="170" fontId="1" fillId="51" borderId="19" xfId="78" applyNumberFormat="1" applyFont="1" applyFill="1" applyBorder="1" applyAlignment="1" applyProtection="1">
      <alignment/>
      <protection/>
    </xf>
    <xf numFmtId="0" fontId="0" fillId="50" borderId="21" xfId="0" applyFill="1" applyBorder="1" applyAlignment="1" applyProtection="1">
      <alignment/>
      <protection/>
    </xf>
    <xf numFmtId="0" fontId="0" fillId="50" borderId="21" xfId="77" applyNumberFormat="1" applyFont="1" applyFill="1" applyBorder="1" applyAlignment="1" applyProtection="1">
      <alignment horizontal="center"/>
      <protection/>
    </xf>
    <xf numFmtId="43" fontId="0" fillId="50" borderId="0" xfId="77" applyFont="1" applyFill="1" applyAlignment="1" applyProtection="1">
      <alignment horizontal="center"/>
      <protection/>
    </xf>
    <xf numFmtId="0" fontId="0" fillId="50" borderId="39" xfId="77" applyNumberFormat="1" applyFill="1" applyBorder="1" applyAlignment="1" applyProtection="1">
      <alignment/>
      <protection/>
    </xf>
    <xf numFmtId="0" fontId="0" fillId="50" borderId="24" xfId="0" applyNumberFormat="1" applyFill="1" applyBorder="1" applyAlignment="1" applyProtection="1">
      <alignment/>
      <protection/>
    </xf>
    <xf numFmtId="0" fontId="0" fillId="50" borderId="20" xfId="0" applyFill="1" applyBorder="1" applyAlignment="1" applyProtection="1">
      <alignment/>
      <protection/>
    </xf>
    <xf numFmtId="0" fontId="0" fillId="50" borderId="25" xfId="0" applyFill="1" applyBorder="1" applyAlignment="1" applyProtection="1">
      <alignment/>
      <protection/>
    </xf>
    <xf numFmtId="0" fontId="0" fillId="50" borderId="22" xfId="0" applyFill="1" applyBorder="1" applyAlignment="1" applyProtection="1">
      <alignment/>
      <protection/>
    </xf>
    <xf numFmtId="0" fontId="0" fillId="50" borderId="26" xfId="0" applyFill="1" applyBorder="1" applyAlignment="1" applyProtection="1">
      <alignment/>
      <protection/>
    </xf>
    <xf numFmtId="0" fontId="0" fillId="50" borderId="27" xfId="0" applyFill="1" applyBorder="1" applyAlignment="1" applyProtection="1">
      <alignment/>
      <protection/>
    </xf>
    <xf numFmtId="0" fontId="0" fillId="50" borderId="28" xfId="0" applyFill="1" applyBorder="1" applyAlignment="1" applyProtection="1">
      <alignment/>
      <protection/>
    </xf>
    <xf numFmtId="173" fontId="0" fillId="50" borderId="19" xfId="77" applyNumberFormat="1" applyFill="1" applyBorder="1" applyAlignment="1" applyProtection="1">
      <alignment/>
      <protection/>
    </xf>
    <xf numFmtId="10" fontId="0" fillId="50" borderId="24" xfId="0" applyNumberFormat="1" applyFill="1" applyBorder="1" applyAlignment="1" applyProtection="1">
      <alignment/>
      <protection/>
    </xf>
    <xf numFmtId="0" fontId="5" fillId="50" borderId="24" xfId="0" applyFont="1" applyFill="1" applyBorder="1" applyAlignment="1" applyProtection="1">
      <alignment/>
      <protection/>
    </xf>
    <xf numFmtId="43" fontId="5" fillId="50" borderId="19" xfId="77" applyFont="1" applyFill="1" applyBorder="1" applyAlignment="1" applyProtection="1">
      <alignment/>
      <protection/>
    </xf>
    <xf numFmtId="43" fontId="0" fillId="50" borderId="19" xfId="77" applyFont="1" applyFill="1" applyBorder="1" applyAlignment="1" applyProtection="1">
      <alignment/>
      <protection/>
    </xf>
    <xf numFmtId="43" fontId="0" fillId="50" borderId="19" xfId="77" applyFont="1" applyFill="1" applyBorder="1" applyAlignment="1" applyProtection="1">
      <alignment/>
      <protection/>
    </xf>
    <xf numFmtId="170" fontId="0" fillId="50" borderId="0" xfId="78" applyNumberFormat="1" applyFill="1" applyBorder="1" applyAlignment="1" applyProtection="1">
      <alignment/>
      <protection/>
    </xf>
    <xf numFmtId="0" fontId="0" fillId="50" borderId="19" xfId="0" applyNumberFormat="1" applyFill="1" applyBorder="1" applyAlignment="1" applyProtection="1">
      <alignment horizontal="center"/>
      <protection/>
    </xf>
    <xf numFmtId="2" fontId="0" fillId="50" borderId="0" xfId="0" applyNumberFormat="1" applyFill="1" applyBorder="1" applyAlignment="1" applyProtection="1">
      <alignment/>
      <protection/>
    </xf>
    <xf numFmtId="0" fontId="0" fillId="48" borderId="19" xfId="0" applyFill="1" applyBorder="1" applyAlignment="1" applyProtection="1">
      <alignment horizontal="center"/>
      <protection locked="0"/>
    </xf>
    <xf numFmtId="0" fontId="22" fillId="49" borderId="21" xfId="0" applyFont="1" applyFill="1" applyBorder="1" applyAlignment="1" applyProtection="1">
      <alignment horizontal="left"/>
      <protection/>
    </xf>
    <xf numFmtId="0" fontId="23" fillId="49" borderId="21" xfId="0" applyFont="1" applyFill="1" applyBorder="1" applyAlignment="1">
      <alignment/>
    </xf>
    <xf numFmtId="0" fontId="23" fillId="49" borderId="25" xfId="0" applyFont="1" applyFill="1" applyBorder="1" applyAlignment="1">
      <alignment/>
    </xf>
    <xf numFmtId="0" fontId="24" fillId="49" borderId="22" xfId="0" applyFont="1" applyFill="1" applyBorder="1" applyAlignment="1" applyProtection="1">
      <alignment horizontal="left"/>
      <protection/>
    </xf>
    <xf numFmtId="0" fontId="24" fillId="49" borderId="0" xfId="0" applyFont="1" applyFill="1" applyBorder="1" applyAlignment="1">
      <alignment/>
    </xf>
    <xf numFmtId="0" fontId="33" fillId="49" borderId="0" xfId="0" applyFont="1" applyFill="1" applyBorder="1" applyAlignment="1">
      <alignment/>
    </xf>
    <xf numFmtId="0" fontId="24" fillId="49" borderId="0" xfId="0" applyFont="1" applyFill="1" applyBorder="1" applyAlignment="1" applyProtection="1">
      <alignment horizontal="left"/>
      <protection/>
    </xf>
    <xf numFmtId="0" fontId="20" fillId="49" borderId="0" xfId="0" applyFont="1" applyFill="1" applyBorder="1" applyAlignment="1">
      <alignment/>
    </xf>
    <xf numFmtId="0" fontId="20" fillId="49" borderId="26" xfId="0" applyFont="1" applyFill="1" applyBorder="1" applyAlignment="1">
      <alignment/>
    </xf>
    <xf numFmtId="0" fontId="0" fillId="0" borderId="22" xfId="0" applyBorder="1" applyAlignment="1">
      <alignment/>
    </xf>
    <xf numFmtId="0" fontId="0" fillId="0" borderId="26" xfId="0" applyBorder="1" applyAlignment="1">
      <alignment/>
    </xf>
    <xf numFmtId="0" fontId="3" fillId="51" borderId="19" xfId="0" applyFont="1" applyFill="1" applyBorder="1" applyAlignment="1">
      <alignment horizontal="center"/>
    </xf>
    <xf numFmtId="0" fontId="20" fillId="51" borderId="19" xfId="0" applyFont="1" applyFill="1" applyBorder="1" applyAlignment="1">
      <alignment horizontal="center"/>
    </xf>
    <xf numFmtId="0" fontId="0" fillId="57" borderId="22" xfId="0" applyFill="1" applyBorder="1" applyAlignment="1">
      <alignment/>
    </xf>
    <xf numFmtId="0" fontId="0" fillId="57" borderId="0" xfId="0" applyFill="1" applyBorder="1" applyAlignment="1">
      <alignment/>
    </xf>
    <xf numFmtId="0" fontId="20" fillId="57" borderId="0" xfId="0" applyFont="1" applyFill="1" applyBorder="1" applyAlignment="1">
      <alignment/>
    </xf>
    <xf numFmtId="1" fontId="20" fillId="50" borderId="19" xfId="0" applyNumberFormat="1" applyFont="1" applyFill="1" applyBorder="1" applyAlignment="1">
      <alignment horizontal="center"/>
    </xf>
    <xf numFmtId="0" fontId="0" fillId="50" borderId="36" xfId="0" applyFill="1" applyBorder="1" applyAlignment="1">
      <alignment horizontal="center"/>
    </xf>
    <xf numFmtId="0" fontId="0" fillId="50" borderId="24" xfId="0" applyFill="1" applyBorder="1" applyAlignment="1">
      <alignment horizontal="center"/>
    </xf>
    <xf numFmtId="0" fontId="0" fillId="51" borderId="36" xfId="0" applyFill="1" applyBorder="1" applyAlignment="1">
      <alignment horizontal="center"/>
    </xf>
    <xf numFmtId="0" fontId="0" fillId="51" borderId="24" xfId="0" applyFill="1" applyBorder="1" applyAlignment="1">
      <alignment horizontal="center"/>
    </xf>
    <xf numFmtId="0" fontId="20" fillId="51" borderId="20" xfId="0" applyFont="1" applyFill="1" applyBorder="1" applyAlignment="1">
      <alignment/>
    </xf>
    <xf numFmtId="0" fontId="20" fillId="51" borderId="21" xfId="0" applyFont="1" applyFill="1" applyBorder="1" applyAlignment="1">
      <alignment/>
    </xf>
    <xf numFmtId="0" fontId="20" fillId="51" borderId="25" xfId="0" applyFont="1" applyFill="1" applyBorder="1" applyAlignment="1">
      <alignment/>
    </xf>
    <xf numFmtId="0" fontId="20" fillId="51" borderId="27" xfId="0" applyFont="1" applyFill="1" applyBorder="1" applyAlignment="1">
      <alignment/>
    </xf>
    <xf numFmtId="0" fontId="20" fillId="51" borderId="23" xfId="0" applyFont="1" applyFill="1" applyBorder="1" applyAlignment="1">
      <alignment/>
    </xf>
    <xf numFmtId="0" fontId="20" fillId="51" borderId="28" xfId="0" applyFont="1" applyFill="1" applyBorder="1" applyAlignment="1">
      <alignment/>
    </xf>
    <xf numFmtId="0" fontId="0" fillId="50" borderId="27" xfId="0" applyFill="1" applyBorder="1" applyAlignment="1">
      <alignment/>
    </xf>
    <xf numFmtId="0" fontId="0" fillId="50" borderId="23" xfId="0" applyFill="1" applyBorder="1" applyAlignment="1">
      <alignment/>
    </xf>
    <xf numFmtId="0" fontId="20" fillId="50" borderId="20" xfId="0" applyFont="1" applyFill="1" applyBorder="1" applyAlignment="1">
      <alignment/>
    </xf>
    <xf numFmtId="0" fontId="20" fillId="50" borderId="21" xfId="0" applyFont="1" applyFill="1" applyBorder="1" applyAlignment="1">
      <alignment/>
    </xf>
    <xf numFmtId="0" fontId="20" fillId="50" borderId="25" xfId="0" applyFont="1" applyFill="1" applyBorder="1" applyAlignment="1">
      <alignment/>
    </xf>
    <xf numFmtId="0" fontId="20" fillId="50" borderId="27" xfId="0" applyFont="1" applyFill="1" applyBorder="1" applyAlignment="1">
      <alignment/>
    </xf>
    <xf numFmtId="0" fontId="20" fillId="50" borderId="23" xfId="0" applyFont="1" applyFill="1" applyBorder="1" applyAlignment="1">
      <alignment/>
    </xf>
    <xf numFmtId="0" fontId="20" fillId="50" borderId="28" xfId="0" applyFont="1" applyFill="1" applyBorder="1" applyAlignment="1">
      <alignment/>
    </xf>
    <xf numFmtId="0" fontId="0" fillId="51" borderId="27" xfId="0" applyFill="1" applyBorder="1" applyAlignment="1">
      <alignment/>
    </xf>
    <xf numFmtId="0" fontId="0" fillId="51" borderId="23" xfId="0" applyFill="1" applyBorder="1" applyAlignment="1">
      <alignment/>
    </xf>
    <xf numFmtId="181" fontId="20" fillId="51" borderId="22" xfId="0" applyNumberFormat="1" applyFont="1" applyFill="1" applyBorder="1" applyAlignment="1">
      <alignment/>
    </xf>
    <xf numFmtId="181" fontId="20" fillId="51" borderId="0" xfId="0" applyNumberFormat="1" applyFont="1" applyFill="1" applyBorder="1" applyAlignment="1">
      <alignment/>
    </xf>
    <xf numFmtId="181" fontId="20" fillId="51" borderId="26" xfId="0" applyNumberFormat="1" applyFont="1" applyFill="1" applyBorder="1" applyAlignment="1">
      <alignment/>
    </xf>
    <xf numFmtId="0" fontId="0" fillId="51" borderId="20" xfId="0" applyFill="1" applyBorder="1" applyAlignment="1">
      <alignment/>
    </xf>
    <xf numFmtId="0" fontId="0" fillId="51" borderId="21" xfId="0" applyFill="1" applyBorder="1" applyAlignment="1">
      <alignment/>
    </xf>
    <xf numFmtId="0" fontId="0" fillId="51" borderId="25" xfId="0" applyFill="1" applyBorder="1" applyAlignment="1">
      <alignment/>
    </xf>
    <xf numFmtId="0" fontId="1" fillId="57" borderId="22" xfId="0" applyFont="1" applyFill="1" applyBorder="1" applyAlignment="1">
      <alignment/>
    </xf>
    <xf numFmtId="0" fontId="20" fillId="50" borderId="19" xfId="0" applyFont="1" applyFill="1" applyBorder="1" applyAlignment="1">
      <alignment/>
    </xf>
    <xf numFmtId="0" fontId="1" fillId="50" borderId="0" xfId="0" applyFont="1" applyFill="1" applyAlignment="1">
      <alignment/>
    </xf>
    <xf numFmtId="3" fontId="0" fillId="50" borderId="19" xfId="0" applyNumberFormat="1" applyFill="1" applyBorder="1" applyAlignment="1">
      <alignment/>
    </xf>
    <xf numFmtId="10" fontId="0" fillId="50" borderId="0" xfId="0" applyNumberFormat="1" applyFill="1" applyAlignment="1">
      <alignment/>
    </xf>
    <xf numFmtId="168" fontId="0" fillId="50" borderId="0" xfId="0" applyNumberFormat="1" applyFill="1" applyAlignment="1">
      <alignment/>
    </xf>
    <xf numFmtId="10" fontId="0" fillId="50" borderId="0" xfId="0" applyNumberFormat="1" applyFill="1" applyBorder="1" applyAlignment="1">
      <alignment/>
    </xf>
    <xf numFmtId="0" fontId="0" fillId="50" borderId="22" xfId="0" applyFill="1" applyBorder="1" applyAlignment="1">
      <alignment/>
    </xf>
    <xf numFmtId="43" fontId="0" fillId="50" borderId="26" xfId="77" applyFont="1" applyFill="1" applyBorder="1" applyAlignment="1">
      <alignment/>
    </xf>
    <xf numFmtId="43" fontId="0" fillId="50" borderId="26" xfId="0" applyNumberFormat="1" applyFill="1" applyBorder="1" applyAlignment="1">
      <alignment/>
    </xf>
    <xf numFmtId="0" fontId="1" fillId="50" borderId="22" xfId="0" applyFont="1" applyFill="1" applyBorder="1" applyAlignment="1">
      <alignment/>
    </xf>
    <xf numFmtId="0" fontId="1" fillId="50" borderId="0" xfId="0" applyFont="1" applyFill="1" applyBorder="1" applyAlignment="1">
      <alignment/>
    </xf>
    <xf numFmtId="43" fontId="1" fillId="50" borderId="26" xfId="0" applyNumberFormat="1" applyFont="1" applyFill="1" applyBorder="1" applyAlignment="1">
      <alignment/>
    </xf>
    <xf numFmtId="168" fontId="0" fillId="50" borderId="0" xfId="0" applyNumberFormat="1" applyFill="1" applyBorder="1" applyAlignment="1">
      <alignment/>
    </xf>
    <xf numFmtId="0" fontId="5" fillId="50" borderId="27" xfId="0" applyFont="1" applyFill="1" applyBorder="1" applyAlignment="1">
      <alignment/>
    </xf>
    <xf numFmtId="0" fontId="5" fillId="50" borderId="23" xfId="0" applyFont="1" applyFill="1" applyBorder="1" applyAlignment="1">
      <alignment/>
    </xf>
    <xf numFmtId="43" fontId="5" fillId="50" borderId="28" xfId="0" applyNumberFormat="1" applyFont="1" applyFill="1" applyBorder="1" applyAlignment="1">
      <alignment/>
    </xf>
    <xf numFmtId="0" fontId="5" fillId="50" borderId="19" xfId="0" applyFont="1" applyFill="1" applyBorder="1" applyAlignment="1" applyProtection="1">
      <alignment horizontal="center"/>
      <protection/>
    </xf>
    <xf numFmtId="0" fontId="0" fillId="53" borderId="19" xfId="77" applyNumberFormat="1" applyFont="1" applyFill="1" applyBorder="1" applyAlignment="1">
      <alignment horizontal="center"/>
    </xf>
    <xf numFmtId="43" fontId="1" fillId="50" borderId="26" xfId="77" applyFont="1" applyFill="1" applyBorder="1" applyAlignment="1">
      <alignment/>
    </xf>
    <xf numFmtId="41" fontId="0" fillId="50" borderId="0" xfId="0" applyNumberFormat="1" applyFill="1" applyBorder="1" applyAlignment="1">
      <alignment/>
    </xf>
    <xf numFmtId="0" fontId="1" fillId="50" borderId="20" xfId="0" applyFont="1" applyFill="1" applyBorder="1" applyAlignment="1">
      <alignment/>
    </xf>
    <xf numFmtId="0" fontId="21" fillId="50" borderId="0" xfId="0" applyFont="1" applyFill="1" applyAlignment="1">
      <alignment/>
    </xf>
    <xf numFmtId="43" fontId="21" fillId="50" borderId="0" xfId="0" applyNumberFormat="1" applyFont="1" applyFill="1" applyAlignment="1">
      <alignment/>
    </xf>
    <xf numFmtId="43" fontId="2" fillId="50" borderId="0" xfId="77" applyFont="1" applyFill="1" applyAlignment="1" applyProtection="1">
      <alignment/>
      <protection/>
    </xf>
    <xf numFmtId="0" fontId="34" fillId="49" borderId="0" xfId="0" applyFont="1" applyFill="1" applyAlignment="1" applyProtection="1">
      <alignment/>
      <protection/>
    </xf>
    <xf numFmtId="0" fontId="1" fillId="29" borderId="0" xfId="0" applyFont="1" applyFill="1" applyAlignment="1">
      <alignment/>
    </xf>
    <xf numFmtId="0" fontId="1" fillId="29" borderId="0" xfId="0" applyFont="1" applyFill="1" applyAlignment="1">
      <alignment horizontal="center"/>
    </xf>
    <xf numFmtId="43" fontId="1" fillId="29" borderId="0" xfId="0" applyNumberFormat="1" applyFont="1" applyFill="1" applyAlignment="1">
      <alignment/>
    </xf>
    <xf numFmtId="43" fontId="0" fillId="0" borderId="0" xfId="0" applyNumberFormat="1" applyAlignment="1">
      <alignment/>
    </xf>
    <xf numFmtId="14" fontId="0" fillId="29" borderId="0" xfId="0" applyNumberFormat="1" applyFill="1" applyAlignment="1">
      <alignment horizontal="left"/>
    </xf>
    <xf numFmtId="179" fontId="0" fillId="29" borderId="0" xfId="0" applyNumberFormat="1" applyFill="1" applyAlignment="1">
      <alignment/>
    </xf>
    <xf numFmtId="0" fontId="1" fillId="29" borderId="0" xfId="0" applyFont="1" applyFill="1" applyAlignment="1">
      <alignment horizontal="left"/>
    </xf>
    <xf numFmtId="1" fontId="0" fillId="29" borderId="0" xfId="0" applyNumberFormat="1" applyFill="1" applyAlignment="1">
      <alignment/>
    </xf>
    <xf numFmtId="0" fontId="0" fillId="51" borderId="22" xfId="0" applyFill="1" applyBorder="1" applyAlignment="1">
      <alignment/>
    </xf>
    <xf numFmtId="0" fontId="0" fillId="51" borderId="0" xfId="0" applyFill="1" applyBorder="1" applyAlignment="1">
      <alignment/>
    </xf>
    <xf numFmtId="0" fontId="1" fillId="51" borderId="22" xfId="0" applyFont="1" applyFill="1" applyBorder="1" applyAlignment="1">
      <alignment/>
    </xf>
    <xf numFmtId="0" fontId="5" fillId="51" borderId="0" xfId="0" applyFont="1" applyFill="1" applyBorder="1" applyAlignment="1">
      <alignment/>
    </xf>
    <xf numFmtId="0" fontId="20" fillId="51" borderId="0" xfId="0" applyFont="1" applyFill="1" applyAlignment="1">
      <alignment/>
    </xf>
    <xf numFmtId="0" fontId="20" fillId="16" borderId="19" xfId="0" applyFont="1" applyFill="1" applyBorder="1" applyAlignment="1">
      <alignment horizontal="center"/>
    </xf>
    <xf numFmtId="0" fontId="0" fillId="51" borderId="19" xfId="0" applyFont="1" applyFill="1" applyBorder="1" applyAlignment="1">
      <alignment/>
    </xf>
    <xf numFmtId="0" fontId="5" fillId="50" borderId="19" xfId="0" applyFont="1" applyFill="1" applyBorder="1" applyAlignment="1">
      <alignment/>
    </xf>
    <xf numFmtId="0" fontId="5" fillId="50" borderId="19" xfId="0" applyFont="1" applyFill="1" applyBorder="1" applyAlignment="1">
      <alignment horizontal="center"/>
    </xf>
    <xf numFmtId="168" fontId="0" fillId="50" borderId="19" xfId="0" applyNumberFormat="1" applyFill="1" applyBorder="1" applyAlignment="1">
      <alignment/>
    </xf>
    <xf numFmtId="0" fontId="0" fillId="50" borderId="0" xfId="0" applyFill="1" applyAlignment="1">
      <alignment horizontal="center"/>
    </xf>
    <xf numFmtId="0" fontId="0" fillId="51" borderId="40" xfId="0" applyFill="1" applyBorder="1" applyAlignment="1">
      <alignment/>
    </xf>
    <xf numFmtId="0" fontId="0" fillId="51" borderId="38" xfId="0" applyFill="1" applyBorder="1" applyAlignment="1">
      <alignment/>
    </xf>
    <xf numFmtId="1" fontId="0" fillId="50" borderId="40" xfId="0" applyNumberFormat="1" applyFill="1" applyBorder="1" applyAlignment="1" applyProtection="1">
      <alignment/>
      <protection/>
    </xf>
    <xf numFmtId="1" fontId="0" fillId="50" borderId="37" xfId="0" applyNumberFormat="1" applyFill="1" applyBorder="1" applyAlignment="1" applyProtection="1">
      <alignment/>
      <protection/>
    </xf>
    <xf numFmtId="1" fontId="0" fillId="50" borderId="38" xfId="0" applyNumberFormat="1" applyFill="1" applyBorder="1" applyAlignment="1" applyProtection="1">
      <alignment/>
      <protection/>
    </xf>
    <xf numFmtId="171" fontId="0" fillId="50" borderId="0" xfId="0" applyNumberFormat="1" applyFill="1" applyAlignment="1" applyProtection="1">
      <alignment/>
      <protection/>
    </xf>
    <xf numFmtId="41" fontId="0" fillId="50" borderId="0" xfId="78" applyFont="1" applyFill="1" applyAlignment="1" applyProtection="1">
      <alignment/>
      <protection/>
    </xf>
    <xf numFmtId="41" fontId="0" fillId="50" borderId="19" xfId="0" applyNumberFormat="1" applyFill="1" applyBorder="1" applyAlignment="1" applyProtection="1">
      <alignment horizontal="center"/>
      <protection/>
    </xf>
    <xf numFmtId="0" fontId="0" fillId="50" borderId="25" xfId="0" applyFont="1" applyFill="1" applyBorder="1" applyAlignment="1" applyProtection="1">
      <alignment/>
      <protection/>
    </xf>
    <xf numFmtId="0" fontId="0" fillId="50" borderId="28" xfId="0" applyFont="1" applyFill="1" applyBorder="1" applyAlignment="1" applyProtection="1">
      <alignment/>
      <protection/>
    </xf>
    <xf numFmtId="0" fontId="0" fillId="50" borderId="40" xfId="0" applyFill="1" applyBorder="1" applyAlignment="1" applyProtection="1">
      <alignment horizontal="center"/>
      <protection/>
    </xf>
    <xf numFmtId="0" fontId="35" fillId="48" borderId="0" xfId="0" applyFont="1" applyFill="1" applyAlignment="1">
      <alignment/>
    </xf>
    <xf numFmtId="0" fontId="35" fillId="51" borderId="0" xfId="0" applyFont="1" applyFill="1" applyAlignment="1">
      <alignment/>
    </xf>
    <xf numFmtId="180" fontId="0" fillId="50" borderId="19" xfId="77" applyNumberFormat="1" applyFont="1" applyFill="1" applyBorder="1" applyAlignment="1" applyProtection="1">
      <alignment horizontal="center"/>
      <protection locked="0"/>
    </xf>
    <xf numFmtId="1" fontId="0" fillId="48" borderId="19" xfId="0" applyNumberFormat="1" applyFill="1" applyBorder="1" applyAlignment="1" applyProtection="1">
      <alignment horizontal="center"/>
      <protection locked="0"/>
    </xf>
    <xf numFmtId="1" fontId="36" fillId="22" borderId="0" xfId="0" applyNumberFormat="1" applyFont="1" applyFill="1" applyAlignment="1" applyProtection="1">
      <alignment/>
      <protection/>
    </xf>
    <xf numFmtId="9" fontId="1" fillId="22" borderId="38" xfId="0" applyNumberFormat="1" applyFont="1" applyFill="1" applyBorder="1" applyAlignment="1" applyProtection="1">
      <alignment horizontal="center"/>
      <protection/>
    </xf>
    <xf numFmtId="180" fontId="0" fillId="50" borderId="19" xfId="77" applyNumberFormat="1" applyFont="1" applyFill="1" applyBorder="1" applyAlignment="1" applyProtection="1">
      <alignment horizontal="center"/>
      <protection locked="0"/>
    </xf>
    <xf numFmtId="43" fontId="0" fillId="53" borderId="19" xfId="77" applyFont="1" applyFill="1" applyBorder="1" applyAlignment="1" applyProtection="1">
      <alignment/>
      <protection locked="0"/>
    </xf>
    <xf numFmtId="0" fontId="0" fillId="26" borderId="0" xfId="0" applyFill="1" applyAlignment="1">
      <alignment/>
    </xf>
    <xf numFmtId="0" fontId="11" fillId="26" borderId="0" xfId="0" applyFont="1" applyFill="1" applyAlignment="1">
      <alignment/>
    </xf>
    <xf numFmtId="0" fontId="0" fillId="26" borderId="0" xfId="0" applyFont="1" applyFill="1" applyAlignment="1">
      <alignment/>
    </xf>
    <xf numFmtId="0" fontId="10" fillId="26" borderId="0" xfId="0" applyFont="1" applyFill="1" applyAlignment="1">
      <alignment/>
    </xf>
    <xf numFmtId="0" fontId="76" fillId="26" borderId="0" xfId="0" applyFont="1" applyFill="1" applyAlignment="1">
      <alignment/>
    </xf>
    <xf numFmtId="0" fontId="0" fillId="58" borderId="0" xfId="0" applyFill="1" applyAlignment="1" applyProtection="1">
      <alignment/>
      <protection/>
    </xf>
    <xf numFmtId="0" fontId="4" fillId="58" borderId="0" xfId="0" applyFont="1" applyFill="1" applyAlignment="1" applyProtection="1">
      <alignment horizontal="left"/>
      <protection/>
    </xf>
    <xf numFmtId="0" fontId="0" fillId="58" borderId="0" xfId="0" applyFill="1" applyAlignment="1" applyProtection="1">
      <alignment horizontal="center"/>
      <protection/>
    </xf>
    <xf numFmtId="0" fontId="25" fillId="58" borderId="0" xfId="0" applyFont="1" applyFill="1" applyAlignment="1" applyProtection="1">
      <alignment horizontal="left"/>
      <protection/>
    </xf>
    <xf numFmtId="0" fontId="1" fillId="26" borderId="0" xfId="0" applyFont="1" applyFill="1" applyAlignment="1">
      <alignment/>
    </xf>
    <xf numFmtId="1" fontId="0" fillId="26" borderId="0" xfId="0" applyNumberFormat="1" applyFill="1" applyAlignment="1">
      <alignment/>
    </xf>
    <xf numFmtId="0" fontId="0" fillId="26" borderId="20" xfId="0" applyFill="1" applyBorder="1" applyAlignment="1">
      <alignment/>
    </xf>
    <xf numFmtId="0" fontId="0" fillId="26" borderId="25" xfId="0" applyFill="1" applyBorder="1" applyAlignment="1">
      <alignment/>
    </xf>
    <xf numFmtId="0" fontId="0" fillId="26" borderId="22" xfId="0" applyFill="1" applyBorder="1" applyAlignment="1">
      <alignment/>
    </xf>
    <xf numFmtId="0" fontId="0" fillId="26" borderId="26" xfId="0" applyFill="1" applyBorder="1" applyAlignment="1">
      <alignment/>
    </xf>
    <xf numFmtId="0" fontId="0" fillId="26" borderId="0" xfId="0" applyFill="1" applyBorder="1" applyAlignment="1">
      <alignment/>
    </xf>
    <xf numFmtId="0" fontId="0" fillId="26" borderId="21" xfId="0" applyFill="1" applyBorder="1" applyAlignment="1">
      <alignment/>
    </xf>
    <xf numFmtId="0" fontId="0" fillId="26" borderId="22" xfId="0" applyFont="1" applyFill="1" applyBorder="1" applyAlignment="1">
      <alignment/>
    </xf>
    <xf numFmtId="0" fontId="0" fillId="22" borderId="0" xfId="0" applyFont="1" applyFill="1" applyAlignment="1" applyProtection="1">
      <alignment/>
      <protection/>
    </xf>
    <xf numFmtId="0" fontId="0" fillId="50" borderId="40" xfId="0" applyFont="1" applyFill="1" applyBorder="1" applyAlignment="1" applyProtection="1">
      <alignment/>
      <protection/>
    </xf>
    <xf numFmtId="0" fontId="0" fillId="50" borderId="37" xfId="0" applyFont="1" applyFill="1" applyBorder="1" applyAlignment="1" applyProtection="1">
      <alignment/>
      <protection/>
    </xf>
    <xf numFmtId="0" fontId="0" fillId="50" borderId="38" xfId="0" applyFont="1" applyFill="1" applyBorder="1" applyAlignment="1" applyProtection="1">
      <alignment/>
      <protection/>
    </xf>
    <xf numFmtId="4" fontId="0" fillId="26" borderId="26" xfId="0" applyNumberFormat="1" applyFill="1" applyBorder="1" applyAlignment="1">
      <alignment/>
    </xf>
    <xf numFmtId="0" fontId="1" fillId="26" borderId="27" xfId="0" applyFont="1" applyFill="1" applyBorder="1" applyAlignment="1">
      <alignment/>
    </xf>
    <xf numFmtId="0" fontId="1" fillId="26" borderId="23" xfId="0" applyFont="1" applyFill="1" applyBorder="1" applyAlignment="1">
      <alignment/>
    </xf>
    <xf numFmtId="4" fontId="1" fillId="26" borderId="28" xfId="0" applyNumberFormat="1" applyFont="1" applyFill="1" applyBorder="1" applyAlignment="1">
      <alignment/>
    </xf>
    <xf numFmtId="0" fontId="5" fillId="26" borderId="19" xfId="0" applyFont="1" applyFill="1" applyBorder="1" applyAlignment="1" applyProtection="1">
      <alignment horizontal="center"/>
      <protection/>
    </xf>
    <xf numFmtId="10" fontId="0" fillId="26" borderId="0" xfId="0" applyNumberFormat="1" applyFill="1" applyAlignment="1">
      <alignment/>
    </xf>
    <xf numFmtId="10" fontId="0" fillId="26" borderId="0" xfId="0" applyNumberFormat="1" applyFill="1" applyBorder="1" applyAlignment="1">
      <alignment/>
    </xf>
    <xf numFmtId="0" fontId="34" fillId="49" borderId="0" xfId="0" applyFont="1" applyFill="1" applyAlignment="1" applyProtection="1">
      <alignment/>
      <protection/>
    </xf>
    <xf numFmtId="0" fontId="1" fillId="29" borderId="0" xfId="94" applyFont="1" applyFill="1">
      <alignment/>
      <protection/>
    </xf>
    <xf numFmtId="0" fontId="0" fillId="50" borderId="22" xfId="0" applyFont="1" applyFill="1" applyBorder="1" applyAlignment="1">
      <alignment/>
    </xf>
    <xf numFmtId="0" fontId="0" fillId="29" borderId="52" xfId="0" applyFont="1" applyFill="1" applyBorder="1" applyAlignment="1">
      <alignment horizontal="center"/>
    </xf>
    <xf numFmtId="0" fontId="0" fillId="29" borderId="53" xfId="0" applyFill="1" applyBorder="1" applyAlignment="1">
      <alignment/>
    </xf>
    <xf numFmtId="0" fontId="0" fillId="29" borderId="54" xfId="0" applyFill="1" applyBorder="1" applyAlignment="1">
      <alignment/>
    </xf>
    <xf numFmtId="0" fontId="0" fillId="29" borderId="55" xfId="94" applyFill="1" applyBorder="1">
      <alignment/>
      <protection/>
    </xf>
    <xf numFmtId="0" fontId="0" fillId="29" borderId="0" xfId="94" applyFill="1" applyBorder="1">
      <alignment/>
      <protection/>
    </xf>
    <xf numFmtId="43" fontId="0" fillId="29" borderId="56" xfId="0" applyNumberFormat="1" applyFill="1" applyBorder="1" applyAlignment="1">
      <alignment/>
    </xf>
    <xf numFmtId="10" fontId="0" fillId="29" borderId="0" xfId="0" applyNumberFormat="1" applyFill="1" applyBorder="1" applyAlignment="1">
      <alignment/>
    </xf>
    <xf numFmtId="0" fontId="0" fillId="29" borderId="56" xfId="0" applyFill="1" applyBorder="1" applyAlignment="1">
      <alignment/>
    </xf>
    <xf numFmtId="0" fontId="0" fillId="29" borderId="57" xfId="94" applyFill="1" applyBorder="1">
      <alignment/>
      <protection/>
    </xf>
    <xf numFmtId="0" fontId="1" fillId="29" borderId="55" xfId="94" applyFont="1" applyFill="1" applyBorder="1">
      <alignment/>
      <protection/>
    </xf>
    <xf numFmtId="168" fontId="0" fillId="29" borderId="0" xfId="0" applyNumberFormat="1" applyFill="1" applyBorder="1" applyAlignment="1">
      <alignment/>
    </xf>
    <xf numFmtId="0" fontId="0" fillId="0" borderId="55" xfId="94" applyBorder="1">
      <alignment/>
      <protection/>
    </xf>
    <xf numFmtId="0" fontId="1" fillId="29" borderId="0" xfId="94" applyFont="1" applyFill="1" applyBorder="1">
      <alignment/>
      <protection/>
    </xf>
    <xf numFmtId="43" fontId="1" fillId="29" borderId="56" xfId="0" applyNumberFormat="1" applyFont="1" applyFill="1" applyBorder="1" applyAlignment="1">
      <alignment/>
    </xf>
    <xf numFmtId="0" fontId="0" fillId="29" borderId="0" xfId="94" applyNumberFormat="1" applyFill="1" applyBorder="1">
      <alignment/>
      <protection/>
    </xf>
    <xf numFmtId="0" fontId="0" fillId="0" borderId="0" xfId="94" applyBorder="1">
      <alignment/>
      <protection/>
    </xf>
    <xf numFmtId="0" fontId="76" fillId="29" borderId="58" xfId="94" applyFont="1" applyFill="1" applyBorder="1">
      <alignment/>
      <protection/>
    </xf>
    <xf numFmtId="0" fontId="0" fillId="29" borderId="57" xfId="0" applyFill="1" applyBorder="1" applyAlignment="1">
      <alignment/>
    </xf>
    <xf numFmtId="43" fontId="76" fillId="29" borderId="59" xfId="0" applyNumberFormat="1" applyFont="1" applyFill="1" applyBorder="1" applyAlignment="1">
      <alignment/>
    </xf>
    <xf numFmtId="0" fontId="0" fillId="29" borderId="52" xfId="94" applyFill="1" applyBorder="1" applyAlignment="1">
      <alignment horizontal="left"/>
      <protection/>
    </xf>
    <xf numFmtId="0" fontId="0" fillId="29" borderId="53" xfId="94" applyFill="1" applyBorder="1">
      <alignment/>
      <protection/>
    </xf>
    <xf numFmtId="10" fontId="0" fillId="29" borderId="53" xfId="0" applyNumberFormat="1" applyFill="1" applyBorder="1" applyAlignment="1">
      <alignment/>
    </xf>
    <xf numFmtId="43" fontId="0" fillId="29" borderId="54" xfId="0" applyNumberFormat="1" applyFill="1" applyBorder="1" applyAlignment="1">
      <alignment/>
    </xf>
    <xf numFmtId="43" fontId="0" fillId="0" borderId="56" xfId="0" applyNumberFormat="1" applyBorder="1" applyAlignment="1">
      <alignment/>
    </xf>
    <xf numFmtId="0" fontId="0" fillId="29" borderId="55" xfId="94" applyFont="1" applyFill="1" applyBorder="1">
      <alignment/>
      <protection/>
    </xf>
    <xf numFmtId="0" fontId="0" fillId="29" borderId="0" xfId="94" applyFont="1" applyFill="1" applyBorder="1">
      <alignment/>
      <protection/>
    </xf>
    <xf numFmtId="0" fontId="0" fillId="29" borderId="0" xfId="0" applyFont="1" applyFill="1" applyBorder="1" applyAlignment="1">
      <alignment/>
    </xf>
    <xf numFmtId="43" fontId="0" fillId="29" borderId="56" xfId="0" applyNumberFormat="1" applyFont="1" applyFill="1" applyBorder="1" applyAlignment="1">
      <alignment/>
    </xf>
    <xf numFmtId="43" fontId="0" fillId="29" borderId="0" xfId="94" applyNumberFormat="1" applyFont="1" applyFill="1" applyBorder="1">
      <alignment/>
      <protection/>
    </xf>
    <xf numFmtId="10" fontId="0" fillId="29" borderId="0" xfId="0" applyNumberFormat="1" applyFont="1" applyFill="1" applyBorder="1" applyAlignment="1">
      <alignment/>
    </xf>
    <xf numFmtId="0" fontId="77" fillId="29" borderId="58" xfId="94" applyFont="1" applyFill="1" applyBorder="1">
      <alignment/>
      <protection/>
    </xf>
    <xf numFmtId="43" fontId="77" fillId="29" borderId="59" xfId="0" applyNumberFormat="1" applyFont="1" applyFill="1" applyBorder="1" applyAlignment="1">
      <alignment/>
    </xf>
    <xf numFmtId="0" fontId="0" fillId="0" borderId="55" xfId="0" applyBorder="1" applyAlignment="1">
      <alignment/>
    </xf>
    <xf numFmtId="0" fontId="0" fillId="0" borderId="0" xfId="0" applyFont="1" applyBorder="1" applyAlignment="1">
      <alignment/>
    </xf>
    <xf numFmtId="43" fontId="0" fillId="29" borderId="0" xfId="0" applyNumberFormat="1" applyFont="1" applyFill="1" applyBorder="1" applyAlignment="1">
      <alignment/>
    </xf>
    <xf numFmtId="0" fontId="78" fillId="29" borderId="57" xfId="94" applyFont="1" applyFill="1" applyBorder="1">
      <alignment/>
      <protection/>
    </xf>
    <xf numFmtId="0" fontId="78" fillId="29" borderId="57" xfId="0" applyFont="1" applyFill="1" applyBorder="1" applyAlignment="1">
      <alignment/>
    </xf>
    <xf numFmtId="0" fontId="77" fillId="29" borderId="52" xfId="94" applyFont="1" applyFill="1" applyBorder="1">
      <alignment/>
      <protection/>
    </xf>
    <xf numFmtId="0" fontId="77" fillId="29" borderId="53" xfId="94" applyFont="1" applyFill="1" applyBorder="1">
      <alignment/>
      <protection/>
    </xf>
    <xf numFmtId="0" fontId="77" fillId="29" borderId="53" xfId="0" applyFont="1" applyFill="1" applyBorder="1" applyAlignment="1">
      <alignment/>
    </xf>
    <xf numFmtId="0" fontId="76" fillId="22" borderId="19" xfId="0" applyFont="1" applyFill="1" applyBorder="1" applyAlignment="1" applyProtection="1">
      <alignment horizontal="center"/>
      <protection/>
    </xf>
    <xf numFmtId="0" fontId="76" fillId="22" borderId="19" xfId="0" applyFont="1" applyFill="1" applyBorder="1" applyAlignment="1" applyProtection="1">
      <alignment/>
      <protection/>
    </xf>
    <xf numFmtId="0" fontId="76" fillId="22" borderId="0" xfId="0" applyFont="1" applyFill="1" applyBorder="1" applyAlignment="1" applyProtection="1">
      <alignment/>
      <protection/>
    </xf>
    <xf numFmtId="0" fontId="0" fillId="50" borderId="40" xfId="0" applyFont="1" applyFill="1" applyBorder="1" applyAlignment="1" applyProtection="1">
      <alignment horizontal="center"/>
      <protection/>
    </xf>
    <xf numFmtId="1" fontId="0" fillId="50" borderId="38" xfId="0" applyNumberFormat="1" applyFill="1" applyBorder="1" applyAlignment="1" applyProtection="1">
      <alignment horizontal="center"/>
      <protection/>
    </xf>
    <xf numFmtId="0" fontId="79" fillId="49" borderId="0" xfId="0" applyFont="1" applyFill="1" applyAlignment="1" applyProtection="1">
      <alignment/>
      <protection/>
    </xf>
    <xf numFmtId="0" fontId="0" fillId="26" borderId="23" xfId="0" applyFill="1" applyBorder="1" applyAlignment="1">
      <alignment/>
    </xf>
    <xf numFmtId="0" fontId="0" fillId="26" borderId="27" xfId="0" applyFont="1" applyFill="1" applyBorder="1" applyAlignment="1">
      <alignment/>
    </xf>
    <xf numFmtId="3" fontId="0" fillId="26" borderId="28" xfId="0" applyNumberFormat="1" applyFill="1" applyBorder="1" applyAlignment="1">
      <alignment/>
    </xf>
    <xf numFmtId="0" fontId="0" fillId="59" borderId="0" xfId="0" applyFill="1" applyAlignment="1">
      <alignment/>
    </xf>
    <xf numFmtId="0" fontId="76" fillId="26" borderId="22" xfId="0" applyFont="1" applyFill="1" applyBorder="1" applyAlignment="1">
      <alignment/>
    </xf>
    <xf numFmtId="0" fontId="76" fillId="26" borderId="0" xfId="0" applyFont="1" applyFill="1" applyBorder="1" applyAlignment="1">
      <alignment/>
    </xf>
    <xf numFmtId="4" fontId="76" fillId="26" borderId="26" xfId="0" applyNumberFormat="1" applyFont="1" applyFill="1" applyBorder="1" applyAlignment="1">
      <alignment/>
    </xf>
    <xf numFmtId="0" fontId="0" fillId="50" borderId="20" xfId="0" applyFont="1" applyFill="1" applyBorder="1" applyAlignment="1" applyProtection="1">
      <alignment/>
      <protection/>
    </xf>
    <xf numFmtId="0" fontId="0" fillId="50" borderId="27" xfId="0" applyFont="1" applyFill="1" applyBorder="1" applyAlignment="1" applyProtection="1">
      <alignment/>
      <protection/>
    </xf>
    <xf numFmtId="1" fontId="0" fillId="22" borderId="0" xfId="0" applyNumberFormat="1" applyFill="1" applyAlignment="1" applyProtection="1">
      <alignment/>
      <protection/>
    </xf>
    <xf numFmtId="0" fontId="76" fillId="22" borderId="0" xfId="0" applyFont="1" applyFill="1" applyAlignment="1" applyProtection="1">
      <alignment/>
      <protection/>
    </xf>
    <xf numFmtId="0" fontId="37" fillId="49" borderId="0" xfId="0" applyFont="1" applyFill="1" applyAlignment="1" applyProtection="1">
      <alignment horizontal="left"/>
      <protection/>
    </xf>
    <xf numFmtId="0" fontId="0" fillId="22" borderId="0" xfId="0" applyFont="1" applyFill="1" applyAlignment="1" applyProtection="1">
      <alignment horizontal="left"/>
      <protection/>
    </xf>
    <xf numFmtId="0" fontId="0" fillId="50" borderId="40" xfId="0" applyFill="1" applyBorder="1" applyAlignment="1" applyProtection="1">
      <alignment/>
      <protection/>
    </xf>
    <xf numFmtId="0" fontId="0" fillId="22" borderId="0" xfId="0" applyFont="1" applyFill="1" applyAlignment="1" applyProtection="1">
      <alignment horizontal="center"/>
      <protection/>
    </xf>
    <xf numFmtId="179" fontId="0" fillId="16" borderId="19" xfId="77" applyNumberFormat="1" applyFont="1" applyFill="1" applyBorder="1" applyAlignment="1" applyProtection="1">
      <alignment horizontal="center"/>
      <protection locked="0"/>
    </xf>
    <xf numFmtId="0" fontId="55" fillId="50" borderId="0" xfId="0" applyFont="1" applyFill="1" applyAlignment="1">
      <alignment horizontal="center"/>
    </xf>
    <xf numFmtId="171" fontId="0" fillId="50" borderId="37" xfId="80" applyNumberFormat="1" applyFill="1" applyBorder="1" applyAlignment="1" applyProtection="1">
      <alignment/>
      <protection/>
    </xf>
    <xf numFmtId="171" fontId="0" fillId="50" borderId="38" xfId="80" applyNumberFormat="1" applyFill="1" applyBorder="1" applyAlignment="1" applyProtection="1">
      <alignment/>
      <protection/>
    </xf>
    <xf numFmtId="14" fontId="5" fillId="51" borderId="19" xfId="0" applyNumberFormat="1" applyFont="1" applyFill="1" applyBorder="1" applyAlignment="1" applyProtection="1">
      <alignment horizontal="left"/>
      <protection/>
    </xf>
    <xf numFmtId="17" fontId="0" fillId="26" borderId="0" xfId="0" applyNumberFormat="1" applyFill="1" applyAlignment="1" quotePrefix="1">
      <alignment/>
    </xf>
    <xf numFmtId="17" fontId="0" fillId="26" borderId="0" xfId="0" applyNumberFormat="1" applyFont="1" applyFill="1" applyAlignment="1" quotePrefix="1">
      <alignment/>
    </xf>
    <xf numFmtId="0" fontId="5" fillId="51" borderId="0" xfId="0" applyFont="1" applyFill="1" applyAlignment="1">
      <alignment horizontal="center"/>
    </xf>
    <xf numFmtId="0" fontId="1" fillId="22" borderId="0" xfId="0" applyFont="1" applyFill="1" applyAlignment="1" applyProtection="1">
      <alignment/>
      <protection hidden="1"/>
    </xf>
    <xf numFmtId="0" fontId="0" fillId="29" borderId="0" xfId="0" applyNumberFormat="1" applyFill="1" applyBorder="1" applyAlignment="1">
      <alignment/>
    </xf>
    <xf numFmtId="0" fontId="0" fillId="29" borderId="0" xfId="0" applyNumberFormat="1" applyFill="1" applyBorder="1" applyAlignment="1">
      <alignment horizontal="center"/>
    </xf>
    <xf numFmtId="0" fontId="0" fillId="29" borderId="55" xfId="0" applyFont="1" applyFill="1" applyBorder="1" applyAlignment="1">
      <alignment/>
    </xf>
    <xf numFmtId="10" fontId="0" fillId="29" borderId="56" xfId="0" applyNumberFormat="1" applyFill="1" applyBorder="1" applyAlignment="1">
      <alignment horizontal="center"/>
    </xf>
    <xf numFmtId="0" fontId="80" fillId="22" borderId="0" xfId="0" applyFont="1" applyFill="1" applyAlignment="1" applyProtection="1">
      <alignment/>
      <protection/>
    </xf>
    <xf numFmtId="1" fontId="80" fillId="60" borderId="0" xfId="0" applyNumberFormat="1" applyFont="1" applyFill="1" applyAlignment="1" applyProtection="1">
      <alignment/>
      <protection/>
    </xf>
    <xf numFmtId="0" fontId="80" fillId="60" borderId="0" xfId="0" applyFont="1" applyFill="1" applyAlignment="1" applyProtection="1">
      <alignment/>
      <protection/>
    </xf>
    <xf numFmtId="1" fontId="80" fillId="22" borderId="0" xfId="0" applyNumberFormat="1" applyFont="1" applyFill="1" applyAlignment="1" applyProtection="1">
      <alignment/>
      <protection/>
    </xf>
    <xf numFmtId="0" fontId="80" fillId="22" borderId="0" xfId="0" applyNumberFormat="1" applyFont="1" applyFill="1" applyAlignment="1" applyProtection="1">
      <alignment/>
      <protection/>
    </xf>
    <xf numFmtId="0" fontId="0" fillId="61" borderId="20" xfId="0" applyFill="1" applyBorder="1" applyAlignment="1">
      <alignment/>
    </xf>
    <xf numFmtId="0" fontId="17" fillId="61" borderId="21" xfId="0" applyFont="1" applyFill="1" applyBorder="1" applyAlignment="1">
      <alignment/>
    </xf>
    <xf numFmtId="0" fontId="0" fillId="61" borderId="21" xfId="0" applyFill="1" applyBorder="1" applyAlignment="1">
      <alignment/>
    </xf>
    <xf numFmtId="43" fontId="5" fillId="61" borderId="21" xfId="0" applyNumberFormat="1" applyFont="1" applyFill="1" applyBorder="1" applyAlignment="1">
      <alignment/>
    </xf>
    <xf numFmtId="43" fontId="5" fillId="61" borderId="25" xfId="0" applyNumberFormat="1" applyFont="1" applyFill="1" applyBorder="1" applyAlignment="1">
      <alignment/>
    </xf>
    <xf numFmtId="0" fontId="0" fillId="61" borderId="22" xfId="0" applyFill="1" applyBorder="1" applyAlignment="1">
      <alignment/>
    </xf>
    <xf numFmtId="0" fontId="0" fillId="61" borderId="0" xfId="0" applyFill="1" applyBorder="1" applyAlignment="1">
      <alignment/>
    </xf>
    <xf numFmtId="0" fontId="0" fillId="61" borderId="26" xfId="0" applyFill="1" applyBorder="1" applyAlignment="1">
      <alignment/>
    </xf>
    <xf numFmtId="0" fontId="5" fillId="61" borderId="36" xfId="0" applyFont="1" applyFill="1" applyBorder="1" applyAlignment="1">
      <alignment/>
    </xf>
    <xf numFmtId="0" fontId="0" fillId="61" borderId="39" xfId="0" applyFill="1" applyBorder="1" applyAlignment="1">
      <alignment/>
    </xf>
    <xf numFmtId="0" fontId="0" fillId="61" borderId="24" xfId="0" applyFill="1" applyBorder="1" applyAlignment="1">
      <alignment/>
    </xf>
    <xf numFmtId="0" fontId="1" fillId="61" borderId="19" xfId="0" applyFont="1" applyFill="1" applyBorder="1" applyAlignment="1">
      <alignment/>
    </xf>
    <xf numFmtId="0" fontId="1" fillId="61" borderId="19" xfId="0" applyFont="1" applyFill="1" applyBorder="1" applyAlignment="1">
      <alignment horizontal="center"/>
    </xf>
    <xf numFmtId="43" fontId="0" fillId="61" borderId="19" xfId="77" applyFill="1" applyBorder="1" applyAlignment="1">
      <alignment/>
    </xf>
    <xf numFmtId="9" fontId="0" fillId="61" borderId="19" xfId="0" applyNumberFormat="1" applyFill="1" applyBorder="1" applyAlignment="1">
      <alignment/>
    </xf>
    <xf numFmtId="10" fontId="0" fillId="61" borderId="19" xfId="0" applyNumberFormat="1" applyFill="1" applyBorder="1" applyAlignment="1">
      <alignment/>
    </xf>
    <xf numFmtId="0" fontId="0" fillId="61" borderId="40" xfId="0" applyFill="1" applyBorder="1" applyAlignment="1">
      <alignment/>
    </xf>
    <xf numFmtId="0" fontId="0" fillId="61" borderId="25" xfId="0" applyFill="1" applyBorder="1" applyAlignment="1">
      <alignment/>
    </xf>
    <xf numFmtId="0" fontId="0" fillId="61" borderId="19" xfId="0" applyFill="1" applyBorder="1" applyAlignment="1">
      <alignment/>
    </xf>
    <xf numFmtId="0" fontId="0" fillId="61" borderId="37" xfId="0" applyFill="1" applyBorder="1" applyAlignment="1">
      <alignment/>
    </xf>
    <xf numFmtId="0" fontId="17" fillId="61" borderId="36" xfId="0" applyFont="1" applyFill="1" applyBorder="1" applyAlignment="1">
      <alignment/>
    </xf>
    <xf numFmtId="43" fontId="5" fillId="61" borderId="19" xfId="77" applyFont="1" applyFill="1" applyBorder="1" applyAlignment="1">
      <alignment/>
    </xf>
    <xf numFmtId="0" fontId="1" fillId="61" borderId="27" xfId="0" applyFont="1" applyFill="1" applyBorder="1" applyAlignment="1">
      <alignment/>
    </xf>
    <xf numFmtId="0" fontId="0" fillId="61" borderId="23" xfId="0" applyFill="1" applyBorder="1" applyAlignment="1">
      <alignment/>
    </xf>
    <xf numFmtId="0" fontId="0" fillId="61" borderId="28" xfId="0" applyFill="1" applyBorder="1" applyAlignment="1">
      <alignment/>
    </xf>
    <xf numFmtId="43" fontId="0" fillId="61" borderId="0" xfId="0" applyNumberFormat="1" applyFill="1" applyBorder="1" applyAlignment="1">
      <alignment/>
    </xf>
    <xf numFmtId="178" fontId="0" fillId="50" borderId="19" xfId="83" applyNumberFormat="1" applyFill="1" applyBorder="1" applyAlignment="1">
      <alignment/>
    </xf>
    <xf numFmtId="43" fontId="0" fillId="50" borderId="39" xfId="83" applyFill="1" applyBorder="1" applyAlignment="1" applyProtection="1">
      <alignment/>
      <protection/>
    </xf>
    <xf numFmtId="43" fontId="0" fillId="13" borderId="36" xfId="83" applyFill="1" applyBorder="1" applyAlignment="1" applyProtection="1">
      <alignment/>
      <protection/>
    </xf>
    <xf numFmtId="43" fontId="0" fillId="13" borderId="39" xfId="83" applyFill="1" applyBorder="1" applyAlignment="1" applyProtection="1">
      <alignment/>
      <protection/>
    </xf>
    <xf numFmtId="43" fontId="0" fillId="13" borderId="24" xfId="83" applyFill="1" applyBorder="1" applyAlignment="1" applyProtection="1">
      <alignment/>
      <protection/>
    </xf>
    <xf numFmtId="0" fontId="0" fillId="50" borderId="19" xfId="0" applyFont="1" applyFill="1" applyBorder="1" applyAlignment="1">
      <alignment/>
    </xf>
    <xf numFmtId="17" fontId="0" fillId="50" borderId="0" xfId="0" applyNumberFormat="1" applyFont="1" applyFill="1" applyBorder="1" applyAlignment="1" quotePrefix="1">
      <alignment horizontal="right"/>
    </xf>
    <xf numFmtId="41" fontId="81" fillId="50" borderId="19" xfId="78" applyFont="1" applyFill="1" applyBorder="1" applyAlignment="1" applyProtection="1">
      <alignment horizontal="left"/>
      <protection/>
    </xf>
    <xf numFmtId="4" fontId="0" fillId="50" borderId="19" xfId="0" applyNumberFormat="1" applyFill="1" applyBorder="1" applyAlignment="1">
      <alignment horizontal="right"/>
    </xf>
    <xf numFmtId="4" fontId="0" fillId="52" borderId="19" xfId="77" applyNumberFormat="1" applyFont="1" applyFill="1" applyBorder="1" applyAlignment="1">
      <alignment horizontal="right"/>
    </xf>
    <xf numFmtId="4" fontId="0" fillId="53" borderId="24" xfId="0" applyNumberFormat="1" applyFill="1" applyBorder="1" applyAlignment="1">
      <alignment horizontal="right"/>
    </xf>
    <xf numFmtId="4" fontId="0" fillId="53" borderId="19" xfId="0" applyNumberFormat="1" applyFill="1" applyBorder="1" applyAlignment="1">
      <alignment horizontal="right"/>
    </xf>
    <xf numFmtId="4" fontId="0" fillId="54" borderId="19" xfId="0" applyNumberFormat="1" applyFill="1" applyBorder="1" applyAlignment="1">
      <alignment horizontal="right"/>
    </xf>
    <xf numFmtId="4" fontId="0" fillId="55" borderId="19" xfId="0" applyNumberFormat="1" applyFill="1" applyBorder="1" applyAlignment="1">
      <alignment horizontal="right"/>
    </xf>
    <xf numFmtId="4" fontId="0" fillId="19" borderId="19" xfId="0" applyNumberFormat="1" applyFill="1" applyBorder="1" applyAlignment="1">
      <alignment horizontal="right"/>
    </xf>
    <xf numFmtId="4" fontId="0" fillId="51" borderId="19" xfId="0" applyNumberFormat="1" applyFill="1" applyBorder="1" applyAlignment="1">
      <alignment horizontal="right"/>
    </xf>
    <xf numFmtId="4" fontId="0" fillId="22" borderId="19" xfId="0" applyNumberFormat="1" applyFill="1" applyBorder="1" applyAlignment="1">
      <alignment horizontal="right"/>
    </xf>
    <xf numFmtId="0" fontId="76" fillId="62" borderId="19" xfId="0" applyFont="1" applyFill="1" applyBorder="1" applyAlignment="1">
      <alignment horizontal="center"/>
    </xf>
    <xf numFmtId="43" fontId="0" fillId="61" borderId="19" xfId="77" applyFont="1" applyFill="1" applyBorder="1" applyAlignment="1">
      <alignment/>
    </xf>
    <xf numFmtId="1" fontId="5" fillId="51" borderId="19" xfId="0" applyNumberFormat="1" applyFont="1" applyFill="1" applyBorder="1" applyAlignment="1" applyProtection="1">
      <alignment horizontal="center"/>
      <protection/>
    </xf>
    <xf numFmtId="0" fontId="0" fillId="61" borderId="20" xfId="0" applyFont="1" applyFill="1" applyBorder="1" applyAlignment="1">
      <alignment/>
    </xf>
    <xf numFmtId="0" fontId="1" fillId="61" borderId="22" xfId="0" applyFont="1" applyFill="1" applyBorder="1" applyAlignment="1">
      <alignment/>
    </xf>
    <xf numFmtId="0" fontId="1" fillId="61" borderId="0" xfId="0" applyFont="1" applyFill="1" applyBorder="1" applyAlignment="1">
      <alignment/>
    </xf>
    <xf numFmtId="0" fontId="10" fillId="61" borderId="22" xfId="0" applyFont="1" applyFill="1" applyBorder="1" applyAlignment="1">
      <alignment/>
    </xf>
    <xf numFmtId="0" fontId="10" fillId="61" borderId="0" xfId="0" applyFont="1" applyFill="1" applyBorder="1" applyAlignment="1">
      <alignment/>
    </xf>
    <xf numFmtId="0" fontId="76" fillId="61" borderId="22" xfId="0" applyFont="1" applyFill="1" applyBorder="1" applyAlignment="1">
      <alignment/>
    </xf>
    <xf numFmtId="0" fontId="76" fillId="61" borderId="0" xfId="0" applyFont="1" applyFill="1" applyBorder="1" applyAlignment="1">
      <alignment/>
    </xf>
    <xf numFmtId="0" fontId="1" fillId="61" borderId="23" xfId="0" applyFont="1" applyFill="1" applyBorder="1" applyAlignment="1">
      <alignment/>
    </xf>
    <xf numFmtId="0" fontId="5" fillId="51" borderId="19" xfId="0" applyNumberFormat="1" applyFont="1" applyFill="1" applyBorder="1" applyAlignment="1" applyProtection="1">
      <alignment horizontal="center"/>
      <protection/>
    </xf>
    <xf numFmtId="0" fontId="24" fillId="49" borderId="0" xfId="0" applyFont="1" applyFill="1" applyAlignment="1" applyProtection="1">
      <alignment horizontal="right"/>
      <protection/>
    </xf>
    <xf numFmtId="0" fontId="1" fillId="61" borderId="40" xfId="0" applyFont="1" applyFill="1" applyBorder="1" applyAlignment="1" applyProtection="1">
      <alignment horizontal="center"/>
      <protection/>
    </xf>
    <xf numFmtId="0" fontId="1" fillId="61" borderId="25" xfId="0" applyFont="1" applyFill="1" applyBorder="1" applyAlignment="1" applyProtection="1">
      <alignment horizontal="center"/>
      <protection/>
    </xf>
    <xf numFmtId="0" fontId="1" fillId="61" borderId="20" xfId="0" applyFont="1" applyFill="1" applyBorder="1" applyAlignment="1" applyProtection="1">
      <alignment horizontal="left"/>
      <protection/>
    </xf>
    <xf numFmtId="0" fontId="0" fillId="61" borderId="0" xfId="0" applyFill="1" applyAlignment="1">
      <alignment/>
    </xf>
    <xf numFmtId="43" fontId="0" fillId="61" borderId="0" xfId="77" applyFill="1" applyAlignment="1">
      <alignment/>
    </xf>
    <xf numFmtId="43" fontId="1" fillId="50" borderId="19" xfId="91" applyFont="1" applyFill="1" applyBorder="1" applyAlignment="1">
      <alignment/>
    </xf>
    <xf numFmtId="43" fontId="0" fillId="61" borderId="19" xfId="77" applyFont="1" applyFill="1" applyBorder="1" applyAlignment="1">
      <alignment/>
    </xf>
    <xf numFmtId="0" fontId="7" fillId="26" borderId="0" xfId="57" applyFill="1" applyAlignment="1" applyProtection="1">
      <alignment/>
      <protection/>
    </xf>
    <xf numFmtId="0" fontId="1" fillId="51" borderId="0" xfId="0" applyFont="1" applyFill="1" applyAlignment="1">
      <alignment horizontal="center"/>
    </xf>
    <xf numFmtId="0" fontId="6" fillId="51" borderId="0" xfId="0" applyFont="1" applyFill="1" applyAlignment="1">
      <alignment horizontal="left"/>
    </xf>
    <xf numFmtId="0" fontId="0" fillId="63" borderId="36" xfId="0" applyFill="1" applyBorder="1" applyAlignment="1" applyProtection="1">
      <alignment horizontal="center"/>
      <protection locked="0"/>
    </xf>
    <xf numFmtId="0" fontId="0" fillId="63" borderId="24" xfId="0" applyFill="1" applyBorder="1" applyAlignment="1" applyProtection="1">
      <alignment horizontal="center"/>
      <protection locked="0"/>
    </xf>
    <xf numFmtId="0" fontId="0" fillId="50" borderId="36" xfId="0" applyFill="1" applyBorder="1" applyAlignment="1">
      <alignment horizontal="center"/>
    </xf>
    <xf numFmtId="0" fontId="0" fillId="50" borderId="39" xfId="0" applyFill="1" applyBorder="1" applyAlignment="1">
      <alignment horizontal="center"/>
    </xf>
    <xf numFmtId="0" fontId="0" fillId="50" borderId="24" xfId="0" applyFill="1" applyBorder="1" applyAlignment="1">
      <alignment horizontal="center"/>
    </xf>
    <xf numFmtId="181" fontId="11" fillId="50" borderId="22" xfId="0" applyNumberFormat="1" applyFont="1" applyFill="1" applyBorder="1" applyAlignment="1">
      <alignment horizontal="center"/>
    </xf>
    <xf numFmtId="181" fontId="11" fillId="50" borderId="0" xfId="0" applyNumberFormat="1" applyFont="1" applyFill="1" applyBorder="1" applyAlignment="1">
      <alignment horizontal="center"/>
    </xf>
    <xf numFmtId="181" fontId="11" fillId="50" borderId="26" xfId="0" applyNumberFormat="1" applyFont="1" applyFill="1" applyBorder="1" applyAlignment="1">
      <alignment horizontal="center"/>
    </xf>
    <xf numFmtId="0" fontId="0" fillId="51" borderId="0" xfId="0" applyFill="1" applyBorder="1" applyAlignment="1">
      <alignment horizontal="center"/>
    </xf>
    <xf numFmtId="181" fontId="20" fillId="50" borderId="22" xfId="0" applyNumberFormat="1" applyFont="1" applyFill="1" applyBorder="1" applyAlignment="1">
      <alignment horizontal="center"/>
    </xf>
    <xf numFmtId="181" fontId="20" fillId="50" borderId="0" xfId="0" applyNumberFormat="1" applyFont="1" applyFill="1" applyBorder="1" applyAlignment="1">
      <alignment horizontal="center"/>
    </xf>
    <xf numFmtId="181" fontId="20" fillId="50" borderId="26" xfId="0" applyNumberFormat="1" applyFont="1" applyFill="1" applyBorder="1" applyAlignment="1">
      <alignment horizontal="center"/>
    </xf>
    <xf numFmtId="0" fontId="0" fillId="51" borderId="20" xfId="0" applyFill="1" applyBorder="1" applyAlignment="1">
      <alignment horizontal="center"/>
    </xf>
    <xf numFmtId="0" fontId="0" fillId="51" borderId="21" xfId="0" applyFill="1" applyBorder="1" applyAlignment="1">
      <alignment horizontal="center"/>
    </xf>
    <xf numFmtId="0" fontId="0" fillId="51" borderId="25" xfId="0" applyFill="1" applyBorder="1" applyAlignment="1">
      <alignment horizontal="center"/>
    </xf>
    <xf numFmtId="0" fontId="0" fillId="51" borderId="27" xfId="0" applyFill="1" applyBorder="1" applyAlignment="1">
      <alignment horizontal="center"/>
    </xf>
    <xf numFmtId="0" fontId="0" fillId="51" borderId="23" xfId="0" applyFill="1" applyBorder="1" applyAlignment="1">
      <alignment horizontal="center"/>
    </xf>
    <xf numFmtId="0" fontId="0" fillId="51" borderId="28" xfId="0" applyFill="1" applyBorder="1" applyAlignment="1">
      <alignment horizontal="center"/>
    </xf>
    <xf numFmtId="0" fontId="0" fillId="51" borderId="36" xfId="0" applyFill="1" applyBorder="1" applyAlignment="1">
      <alignment horizontal="center"/>
    </xf>
    <xf numFmtId="0" fontId="0" fillId="51" borderId="39" xfId="0" applyFill="1" applyBorder="1" applyAlignment="1">
      <alignment horizontal="center"/>
    </xf>
    <xf numFmtId="0" fontId="0" fillId="51" borderId="24" xfId="0" applyFill="1" applyBorder="1" applyAlignment="1">
      <alignment horizontal="center"/>
    </xf>
    <xf numFmtId="181" fontId="20" fillId="51" borderId="22" xfId="0" applyNumberFormat="1" applyFont="1" applyFill="1" applyBorder="1" applyAlignment="1">
      <alignment horizontal="center"/>
    </xf>
    <xf numFmtId="181" fontId="20" fillId="51" borderId="0" xfId="0" applyNumberFormat="1" applyFont="1" applyFill="1" applyBorder="1" applyAlignment="1">
      <alignment horizontal="center"/>
    </xf>
    <xf numFmtId="181" fontId="20" fillId="51" borderId="26" xfId="0" applyNumberFormat="1" applyFont="1" applyFill="1" applyBorder="1" applyAlignment="1">
      <alignment horizontal="center"/>
    </xf>
    <xf numFmtId="0" fontId="0" fillId="50" borderId="20" xfId="0" applyFill="1" applyBorder="1" applyAlignment="1">
      <alignment horizontal="center"/>
    </xf>
    <xf numFmtId="0" fontId="0" fillId="50" borderId="21" xfId="0" applyFill="1" applyBorder="1" applyAlignment="1">
      <alignment horizontal="center"/>
    </xf>
    <xf numFmtId="0" fontId="0" fillId="50" borderId="25" xfId="0" applyFill="1" applyBorder="1" applyAlignment="1">
      <alignment horizontal="center"/>
    </xf>
    <xf numFmtId="0" fontId="0" fillId="50" borderId="27" xfId="0" applyFill="1" applyBorder="1" applyAlignment="1">
      <alignment horizontal="center"/>
    </xf>
    <xf numFmtId="0" fontId="0" fillId="50" borderId="23" xfId="0" applyFill="1" applyBorder="1" applyAlignment="1">
      <alignment horizontal="center"/>
    </xf>
    <xf numFmtId="0" fontId="0" fillId="50" borderId="28" xfId="0" applyFill="1" applyBorder="1" applyAlignment="1">
      <alignment horizontal="center"/>
    </xf>
    <xf numFmtId="10" fontId="20" fillId="51" borderId="22" xfId="0" applyNumberFormat="1" applyFont="1" applyFill="1" applyBorder="1" applyAlignment="1">
      <alignment horizontal="center"/>
    </xf>
    <xf numFmtId="10" fontId="20" fillId="51" borderId="0" xfId="0" applyNumberFormat="1" applyFont="1" applyFill="1" applyBorder="1" applyAlignment="1">
      <alignment horizontal="center"/>
    </xf>
    <xf numFmtId="10" fontId="20" fillId="51" borderId="26" xfId="0" applyNumberFormat="1" applyFont="1" applyFill="1" applyBorder="1" applyAlignment="1">
      <alignment horizontal="center"/>
    </xf>
    <xf numFmtId="168" fontId="20" fillId="51" borderId="36" xfId="77" applyNumberFormat="1" applyFont="1" applyFill="1" applyBorder="1" applyAlignment="1">
      <alignment horizontal="center"/>
    </xf>
    <xf numFmtId="168" fontId="20" fillId="51" borderId="24" xfId="77" applyNumberFormat="1" applyFont="1" applyFill="1" applyBorder="1" applyAlignment="1">
      <alignment horizontal="center"/>
    </xf>
    <xf numFmtId="168" fontId="20" fillId="50" borderId="36" xfId="0" applyNumberFormat="1" applyFont="1" applyFill="1" applyBorder="1" applyAlignment="1">
      <alignment horizontal="center"/>
    </xf>
    <xf numFmtId="168" fontId="20" fillId="50" borderId="24" xfId="0" applyNumberFormat="1" applyFont="1" applyFill="1" applyBorder="1" applyAlignment="1">
      <alignment horizontal="center"/>
    </xf>
    <xf numFmtId="0" fontId="20" fillId="50" borderId="36" xfId="0" applyFont="1" applyFill="1" applyBorder="1" applyAlignment="1">
      <alignment horizontal="center"/>
    </xf>
    <xf numFmtId="0" fontId="20" fillId="50" borderId="24" xfId="0" applyFont="1" applyFill="1" applyBorder="1" applyAlignment="1">
      <alignment horizontal="center"/>
    </xf>
    <xf numFmtId="168" fontId="20" fillId="51" borderId="36" xfId="0" applyNumberFormat="1" applyFont="1" applyFill="1" applyBorder="1" applyAlignment="1">
      <alignment horizontal="center"/>
    </xf>
    <xf numFmtId="168" fontId="20" fillId="51" borderId="24" xfId="0" applyNumberFormat="1" applyFont="1" applyFill="1" applyBorder="1" applyAlignment="1">
      <alignment horizontal="center"/>
    </xf>
    <xf numFmtId="0" fontId="3" fillId="57" borderId="22" xfId="0" applyFont="1" applyFill="1" applyBorder="1" applyAlignment="1">
      <alignment horizontal="left"/>
    </xf>
    <xf numFmtId="0" fontId="3" fillId="57" borderId="0" xfId="0" applyFont="1" applyFill="1" applyBorder="1" applyAlignment="1">
      <alignment horizontal="left"/>
    </xf>
    <xf numFmtId="181" fontId="20" fillId="51" borderId="20" xfId="0" applyNumberFormat="1" applyFont="1" applyFill="1" applyBorder="1" applyAlignment="1">
      <alignment horizontal="center"/>
    </xf>
    <xf numFmtId="181" fontId="20" fillId="51" borderId="21" xfId="0" applyNumberFormat="1" applyFont="1" applyFill="1" applyBorder="1" applyAlignment="1">
      <alignment horizontal="center"/>
    </xf>
    <xf numFmtId="181" fontId="20" fillId="51" borderId="25" xfId="0" applyNumberFormat="1" applyFont="1" applyFill="1" applyBorder="1" applyAlignment="1">
      <alignment horizontal="center"/>
    </xf>
    <xf numFmtId="181" fontId="20" fillId="51" borderId="27" xfId="0" applyNumberFormat="1" applyFont="1" applyFill="1" applyBorder="1" applyAlignment="1">
      <alignment horizontal="center"/>
    </xf>
    <xf numFmtId="181" fontId="20" fillId="51" borderId="23" xfId="0" applyNumberFormat="1" applyFont="1" applyFill="1" applyBorder="1" applyAlignment="1">
      <alignment horizontal="center"/>
    </xf>
    <xf numFmtId="181" fontId="20" fillId="51" borderId="28" xfId="0" applyNumberFormat="1" applyFont="1" applyFill="1" applyBorder="1" applyAlignment="1">
      <alignment horizontal="center"/>
    </xf>
    <xf numFmtId="0" fontId="1" fillId="29" borderId="0" xfId="94" applyFont="1" applyFill="1" applyAlignment="1">
      <alignment horizontal="left"/>
      <protection/>
    </xf>
    <xf numFmtId="0" fontId="1" fillId="59" borderId="0" xfId="94" applyFont="1" applyFill="1" applyAlignment="1">
      <alignment horizontal="left"/>
      <protection/>
    </xf>
    <xf numFmtId="43" fontId="77" fillId="29" borderId="53" xfId="0" applyNumberFormat="1" applyFont="1" applyFill="1" applyBorder="1" applyAlignment="1">
      <alignment horizontal="center"/>
    </xf>
    <xf numFmtId="43" fontId="77" fillId="29" borderId="54" xfId="0" applyNumberFormat="1" applyFont="1" applyFill="1" applyBorder="1" applyAlignment="1">
      <alignment horizontal="center"/>
    </xf>
    <xf numFmtId="195" fontId="3" fillId="51" borderId="0" xfId="0" applyNumberFormat="1" applyFont="1" applyFill="1" applyAlignment="1">
      <alignment/>
    </xf>
  </cellXfs>
  <cellStyles count="109">
    <cellStyle name="Normal" xfId="0"/>
    <cellStyle name="20% - Colore 1" xfId="15"/>
    <cellStyle name="20% - Colore 1 2" xfId="16"/>
    <cellStyle name="20% - Colore 2" xfId="17"/>
    <cellStyle name="20% - Colore 2 2" xfId="18"/>
    <cellStyle name="20% - Colore 3" xfId="19"/>
    <cellStyle name="20% - Colore 3 2" xfId="20"/>
    <cellStyle name="20% - Colore 4" xfId="21"/>
    <cellStyle name="20% - Colore 4 2" xfId="22"/>
    <cellStyle name="20% - Colore 5" xfId="23"/>
    <cellStyle name="20% - Colore 5 2" xfId="24"/>
    <cellStyle name="20% - Colore 6" xfId="25"/>
    <cellStyle name="20% - Colore 6 2" xfId="26"/>
    <cellStyle name="40% - Colore 1" xfId="27"/>
    <cellStyle name="40% - Colore 1 2" xfId="28"/>
    <cellStyle name="40% - Colore 2" xfId="29"/>
    <cellStyle name="40% - Colore 2 2" xfId="30"/>
    <cellStyle name="40% - Colore 3" xfId="31"/>
    <cellStyle name="40% - Colore 3 2" xfId="32"/>
    <cellStyle name="40% - Colore 4" xfId="33"/>
    <cellStyle name="40% - Colore 4 2" xfId="34"/>
    <cellStyle name="40% - Colore 5" xfId="35"/>
    <cellStyle name="40% - Colore 5 2" xfId="36"/>
    <cellStyle name="40% - Colore 6" xfId="37"/>
    <cellStyle name="40% - Colore 6 2" xfId="38"/>
    <cellStyle name="60% - Colore 1" xfId="39"/>
    <cellStyle name="60% - Colore 1 2" xfId="40"/>
    <cellStyle name="60% - Colore 2" xfId="41"/>
    <cellStyle name="60% - Colore 2 2" xfId="42"/>
    <cellStyle name="60% - Colore 3" xfId="43"/>
    <cellStyle name="60% - Colore 3 2" xfId="44"/>
    <cellStyle name="60% - Colore 4" xfId="45"/>
    <cellStyle name="60% - Colore 4 2" xfId="46"/>
    <cellStyle name="60% - Colore 5" xfId="47"/>
    <cellStyle name="60% - Colore 5 2" xfId="48"/>
    <cellStyle name="60% - Colore 6" xfId="49"/>
    <cellStyle name="60% - Colore 6 2" xfId="50"/>
    <cellStyle name="Calcolo" xfId="51"/>
    <cellStyle name="Calcolo 2" xfId="52"/>
    <cellStyle name="Cella collegata" xfId="53"/>
    <cellStyle name="Cella collegata 2" xfId="54"/>
    <cellStyle name="Cella da controllare" xfId="55"/>
    <cellStyle name="Cella da controllare 2" xfId="56"/>
    <cellStyle name="Hyperlink" xfId="57"/>
    <cellStyle name="Followed Hyperlink" xfId="58"/>
    <cellStyle name="Colore 1" xfId="59"/>
    <cellStyle name="Colore 1 2" xfId="60"/>
    <cellStyle name="Colore 2" xfId="61"/>
    <cellStyle name="Colore 2 2" xfId="62"/>
    <cellStyle name="Colore 3" xfId="63"/>
    <cellStyle name="Colore 3 2" xfId="64"/>
    <cellStyle name="Colore 4" xfId="65"/>
    <cellStyle name="Colore 4 2" xfId="66"/>
    <cellStyle name="Colore 5" xfId="67"/>
    <cellStyle name="Colore 5 2" xfId="68"/>
    <cellStyle name="Colore 6" xfId="69"/>
    <cellStyle name="Colore 6 2" xfId="70"/>
    <cellStyle name="Euro" xfId="71"/>
    <cellStyle name="Euro 2" xfId="72"/>
    <cellStyle name="Euro 3" xfId="73"/>
    <cellStyle name="Euro 3 2" xfId="74"/>
    <cellStyle name="Input" xfId="75"/>
    <cellStyle name="Input 2" xfId="76"/>
    <cellStyle name="Comma" xfId="77"/>
    <cellStyle name="Comma [0]" xfId="78"/>
    <cellStyle name="Migliaia [0] 2" xfId="79"/>
    <cellStyle name="Migliaia [0] 3" xfId="80"/>
    <cellStyle name="Migliaia [0] 3 2" xfId="81"/>
    <cellStyle name="Migliaia [0] 4" xfId="82"/>
    <cellStyle name="Migliaia 2" xfId="83"/>
    <cellStyle name="Migliaia 3" xfId="84"/>
    <cellStyle name="Migliaia 4" xfId="85"/>
    <cellStyle name="Migliaia 5" xfId="86"/>
    <cellStyle name="Migliaia 6" xfId="87"/>
    <cellStyle name="Migliaia 6 2" xfId="88"/>
    <cellStyle name="Migliaia 7" xfId="89"/>
    <cellStyle name="Migliaia 8" xfId="90"/>
    <cellStyle name="Migliaia 9" xfId="91"/>
    <cellStyle name="Neutrale" xfId="92"/>
    <cellStyle name="Neutrale 2" xfId="93"/>
    <cellStyle name="Normale 2" xfId="94"/>
    <cellStyle name="Nota" xfId="95"/>
    <cellStyle name="Nota 2" xfId="96"/>
    <cellStyle name="Nota 2 2" xfId="97"/>
    <cellStyle name="Output" xfId="98"/>
    <cellStyle name="Output 2" xfId="99"/>
    <cellStyle name="Percent" xfId="100"/>
    <cellStyle name="Testo avviso" xfId="101"/>
    <cellStyle name="Testo avviso 2" xfId="102"/>
    <cellStyle name="Testo descrittivo" xfId="103"/>
    <cellStyle name="Testo descrittivo 2" xfId="104"/>
    <cellStyle name="Titolo" xfId="105"/>
    <cellStyle name="Titolo 1" xfId="106"/>
    <cellStyle name="Titolo 1 2" xfId="107"/>
    <cellStyle name="Titolo 2" xfId="108"/>
    <cellStyle name="Titolo 2 2" xfId="109"/>
    <cellStyle name="Titolo 3" xfId="110"/>
    <cellStyle name="Titolo 3 2" xfId="111"/>
    <cellStyle name="Titolo 4" xfId="112"/>
    <cellStyle name="Titolo 4 2" xfId="113"/>
    <cellStyle name="Titolo 5" xfId="114"/>
    <cellStyle name="Totale" xfId="115"/>
    <cellStyle name="Totale 2" xfId="116"/>
    <cellStyle name="Valore non valido" xfId="117"/>
    <cellStyle name="Valore non valido 2" xfId="118"/>
    <cellStyle name="Valore valido" xfId="119"/>
    <cellStyle name="Valore valido 2" xfId="120"/>
    <cellStyle name="Currency" xfId="121"/>
    <cellStyle name="Currency [0]"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25</xdr:row>
      <xdr:rowOff>95250</xdr:rowOff>
    </xdr:from>
    <xdr:to>
      <xdr:col>12</xdr:col>
      <xdr:colOff>28575</xdr:colOff>
      <xdr:row>29</xdr:row>
      <xdr:rowOff>9525</xdr:rowOff>
    </xdr:to>
    <xdr:pic>
      <xdr:nvPicPr>
        <xdr:cNvPr id="1" name="Picture 3" descr="by51"/>
        <xdr:cNvPicPr preferRelativeResize="1">
          <a:picLocks noChangeAspect="1"/>
        </xdr:cNvPicPr>
      </xdr:nvPicPr>
      <xdr:blipFill>
        <a:blip r:embed="rId1"/>
        <a:stretch>
          <a:fillRect/>
        </a:stretch>
      </xdr:blipFill>
      <xdr:spPr>
        <a:xfrm>
          <a:off x="5867400" y="4181475"/>
          <a:ext cx="1171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5819775</xdr:colOff>
      <xdr:row>35</xdr:row>
      <xdr:rowOff>57150</xdr:rowOff>
    </xdr:from>
    <xdr:to>
      <xdr:col>2</xdr:col>
      <xdr:colOff>66675</xdr:colOff>
      <xdr:row>38</xdr:row>
      <xdr:rowOff>142875</xdr:rowOff>
    </xdr:to>
    <xdr:pic>
      <xdr:nvPicPr>
        <xdr:cNvPr id="1" name="Picture 3" descr="by51"/>
        <xdr:cNvPicPr preferRelativeResize="1">
          <a:picLocks noChangeAspect="1"/>
        </xdr:cNvPicPr>
      </xdr:nvPicPr>
      <xdr:blipFill>
        <a:blip r:embed="rId1"/>
        <a:stretch>
          <a:fillRect/>
        </a:stretch>
      </xdr:blipFill>
      <xdr:spPr>
        <a:xfrm>
          <a:off x="6096000" y="5724525"/>
          <a:ext cx="11430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228600</xdr:colOff>
      <xdr:row>30</xdr:row>
      <xdr:rowOff>0</xdr:rowOff>
    </xdr:from>
    <xdr:ext cx="1038225" cy="390525"/>
    <xdr:sp>
      <xdr:nvSpPr>
        <xdr:cNvPr id="1" name="CasellaDiTesto 1"/>
        <xdr:cNvSpPr txBox="1">
          <a:spLocks noChangeArrowheads="1"/>
        </xdr:cNvSpPr>
      </xdr:nvSpPr>
      <xdr:spPr>
        <a:xfrm>
          <a:off x="9648825" y="5505450"/>
          <a:ext cx="1038225" cy="390525"/>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ichele_2\Documents\00WE\1Pensione\00MicheleBasile\PensioneScuolacan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Datipers"/>
      <sheetName val="Irpef"/>
      <sheetName val="Contributivo"/>
      <sheetName val="Determina"/>
      <sheetName val="CalcoloA"/>
      <sheetName val="CalcoloB"/>
      <sheetName val="Stampa"/>
      <sheetName val="Dati16"/>
      <sheetName val="Dati17"/>
      <sheetName val="Modulo1"/>
      <sheetName val="Modulo2"/>
      <sheetName val="Modulo3"/>
      <sheetName val="Modulo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dimension ref="A1:AO333"/>
  <sheetViews>
    <sheetView tabSelected="1" zoomScalePageLayoutView="0" workbookViewId="0" topLeftCell="A1">
      <selection activeCell="A1" sqref="A1"/>
    </sheetView>
  </sheetViews>
  <sheetFormatPr defaultColWidth="9.140625" defaultRowHeight="12.75"/>
  <cols>
    <col min="1" max="1" width="3.57421875" style="0" customWidth="1"/>
    <col min="2" max="2" width="10.00390625" style="0" customWidth="1"/>
    <col min="4" max="4" width="10.140625" style="0" customWidth="1"/>
    <col min="5" max="5" width="6.57421875" style="0" customWidth="1"/>
    <col min="12" max="12" width="10.8515625" style="0" customWidth="1"/>
    <col min="13" max="13" width="3.28125" style="0" customWidth="1"/>
  </cols>
  <sheetData>
    <row r="1" spans="1:41" ht="12.75">
      <c r="A1" s="1"/>
      <c r="B1" s="1"/>
      <c r="C1" s="1"/>
      <c r="D1" s="1"/>
      <c r="E1" s="1"/>
      <c r="F1" s="1"/>
      <c r="G1" s="1"/>
      <c r="H1" s="1"/>
      <c r="I1" s="1"/>
      <c r="J1" s="1"/>
      <c r="K1" s="1"/>
      <c r="L1" s="1"/>
      <c r="M1" s="1"/>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row>
    <row r="2" spans="1:41" ht="12.75">
      <c r="A2" s="1"/>
      <c r="B2" s="495"/>
      <c r="C2" s="495"/>
      <c r="D2" s="495"/>
      <c r="E2" s="495"/>
      <c r="F2" s="495"/>
      <c r="G2" s="495"/>
      <c r="H2" s="495"/>
      <c r="I2" s="495"/>
      <c r="J2" s="495"/>
      <c r="K2" s="495"/>
      <c r="L2" s="495"/>
      <c r="M2" s="1"/>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row>
    <row r="3" spans="1:41" ht="15.75">
      <c r="A3" s="1"/>
      <c r="B3" s="495"/>
      <c r="C3" s="495"/>
      <c r="D3" s="495"/>
      <c r="E3" s="496" t="s">
        <v>640</v>
      </c>
      <c r="F3" s="496"/>
      <c r="G3" s="496"/>
      <c r="H3" s="495"/>
      <c r="I3" s="495"/>
      <c r="J3" s="495"/>
      <c r="K3" s="495"/>
      <c r="L3" s="495"/>
      <c r="M3" s="1"/>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row>
    <row r="4" spans="1:41" ht="12.75">
      <c r="A4" s="1"/>
      <c r="B4" s="495"/>
      <c r="C4" s="495"/>
      <c r="D4" s="495"/>
      <c r="E4" s="495"/>
      <c r="F4" s="495"/>
      <c r="G4" s="495"/>
      <c r="H4" s="495"/>
      <c r="I4" s="594"/>
      <c r="J4" s="594"/>
      <c r="K4" s="593"/>
      <c r="L4" s="594"/>
      <c r="M4" s="1"/>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row>
    <row r="5" spans="1:41" ht="12.75">
      <c r="A5" s="1"/>
      <c r="B5" s="495"/>
      <c r="C5" s="495"/>
      <c r="D5" s="495"/>
      <c r="E5" s="495"/>
      <c r="F5" s="495"/>
      <c r="G5" s="495"/>
      <c r="H5" s="495"/>
      <c r="I5" s="594" t="s">
        <v>641</v>
      </c>
      <c r="J5" s="594"/>
      <c r="K5" s="593"/>
      <c r="L5" s="594"/>
      <c r="M5" s="1"/>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row>
    <row r="6" spans="1:41" ht="12.75">
      <c r="A6" s="1"/>
      <c r="B6" s="495" t="s">
        <v>520</v>
      </c>
      <c r="C6" s="495"/>
      <c r="D6" s="495"/>
      <c r="E6" s="495"/>
      <c r="F6" s="495"/>
      <c r="G6" s="495"/>
      <c r="H6" s="495"/>
      <c r="I6" s="495"/>
      <c r="J6" s="495"/>
      <c r="K6" s="495"/>
      <c r="L6" s="495"/>
      <c r="M6" s="1"/>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row>
    <row r="7" spans="1:41" ht="12.75">
      <c r="A7" s="1"/>
      <c r="B7" s="495" t="s">
        <v>521</v>
      </c>
      <c r="C7" s="495"/>
      <c r="D7" s="495"/>
      <c r="E7" s="495"/>
      <c r="F7" s="495"/>
      <c r="G7" s="495"/>
      <c r="H7" s="495"/>
      <c r="I7" s="495"/>
      <c r="J7" s="495"/>
      <c r="K7" s="495"/>
      <c r="L7" s="495"/>
      <c r="M7" s="1"/>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row>
    <row r="8" spans="1:41" ht="12.75">
      <c r="A8" s="1"/>
      <c r="B8" s="495" t="s">
        <v>522</v>
      </c>
      <c r="C8" s="495"/>
      <c r="D8" s="495"/>
      <c r="E8" s="495"/>
      <c r="F8" s="495"/>
      <c r="G8" s="495"/>
      <c r="H8" s="495"/>
      <c r="I8" s="594"/>
      <c r="J8" s="495"/>
      <c r="K8" s="495"/>
      <c r="L8" s="495"/>
      <c r="M8" s="1"/>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row>
    <row r="9" spans="1:41" ht="12.75">
      <c r="A9" s="1"/>
      <c r="B9" s="495" t="s">
        <v>630</v>
      </c>
      <c r="C9" s="495"/>
      <c r="D9" s="495"/>
      <c r="E9" s="495"/>
      <c r="F9" s="495"/>
      <c r="G9" s="495"/>
      <c r="H9" s="495"/>
      <c r="I9" s="594"/>
      <c r="J9" s="495"/>
      <c r="K9" s="495"/>
      <c r="L9" s="495"/>
      <c r="M9" s="1"/>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row>
    <row r="10" spans="1:41" ht="12.75">
      <c r="A10" s="1"/>
      <c r="B10" s="495" t="s">
        <v>642</v>
      </c>
      <c r="C10" s="495"/>
      <c r="D10" s="495"/>
      <c r="E10" s="495"/>
      <c r="F10" s="495"/>
      <c r="G10" s="495"/>
      <c r="H10" s="495"/>
      <c r="I10" s="594"/>
      <c r="J10" s="495"/>
      <c r="K10" s="495"/>
      <c r="L10" s="495"/>
      <c r="M10" s="1"/>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row>
    <row r="11" spans="1:41" ht="12.75">
      <c r="A11" s="1"/>
      <c r="B11" s="495" t="s">
        <v>643</v>
      </c>
      <c r="C11" s="495"/>
      <c r="D11" s="495"/>
      <c r="E11" s="495"/>
      <c r="F11" s="495"/>
      <c r="G11" s="495"/>
      <c r="H11" s="495"/>
      <c r="I11" s="594"/>
      <c r="J11" s="495"/>
      <c r="K11" s="495"/>
      <c r="L11" s="495"/>
      <c r="M11" s="1"/>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row>
    <row r="12" spans="1:41" ht="12.75">
      <c r="A12" s="1"/>
      <c r="B12" s="495"/>
      <c r="C12" s="495"/>
      <c r="D12" s="495"/>
      <c r="E12" s="495"/>
      <c r="F12" s="495"/>
      <c r="G12" s="495"/>
      <c r="H12" s="495"/>
      <c r="I12" s="495"/>
      <c r="J12" s="495"/>
      <c r="K12" s="495"/>
      <c r="L12" s="495"/>
      <c r="M12" s="1"/>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row>
    <row r="13" spans="1:41" ht="12.75">
      <c r="A13" s="1"/>
      <c r="B13" s="504" t="s">
        <v>629</v>
      </c>
      <c r="C13" s="504"/>
      <c r="D13" s="504"/>
      <c r="E13" s="504"/>
      <c r="F13" s="504"/>
      <c r="G13" s="504"/>
      <c r="H13" s="495"/>
      <c r="I13" s="495"/>
      <c r="J13" s="495"/>
      <c r="K13" s="495"/>
      <c r="L13" s="495"/>
      <c r="M13" s="1"/>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row>
    <row r="14" spans="1:41" ht="12.75">
      <c r="A14" s="1"/>
      <c r="B14" s="497" t="s">
        <v>628</v>
      </c>
      <c r="C14" s="495"/>
      <c r="D14" s="669" t="s">
        <v>644</v>
      </c>
      <c r="E14" s="495"/>
      <c r="F14" s="669" t="s">
        <v>627</v>
      </c>
      <c r="G14" s="495"/>
      <c r="H14" s="669" t="s">
        <v>626</v>
      </c>
      <c r="I14" s="495"/>
      <c r="J14" s="669" t="s">
        <v>625</v>
      </c>
      <c r="K14" s="495"/>
      <c r="L14" s="669" t="s">
        <v>624</v>
      </c>
      <c r="M14" s="1"/>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row>
    <row r="15" spans="1:41" ht="12.75">
      <c r="A15" s="1"/>
      <c r="B15" s="497"/>
      <c r="C15" s="495"/>
      <c r="D15" s="669"/>
      <c r="E15" s="495"/>
      <c r="F15" s="495"/>
      <c r="G15" s="495"/>
      <c r="H15" s="495"/>
      <c r="I15" s="495"/>
      <c r="J15" s="495"/>
      <c r="K15" s="495"/>
      <c r="L15" s="495"/>
      <c r="M15" s="1"/>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row>
    <row r="16" spans="1:41" ht="12.75">
      <c r="A16" s="1"/>
      <c r="B16" s="1"/>
      <c r="C16" s="1"/>
      <c r="D16" s="1"/>
      <c r="E16" s="1"/>
      <c r="F16" s="1"/>
      <c r="G16" s="1"/>
      <c r="H16" s="1"/>
      <c r="I16" s="1"/>
      <c r="J16" s="1"/>
      <c r="K16" s="1"/>
      <c r="L16" s="1"/>
      <c r="M16" s="1"/>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row>
    <row r="17" spans="1:41" ht="12.75">
      <c r="A17" s="1"/>
      <c r="B17" s="1"/>
      <c r="C17" s="1"/>
      <c r="D17" s="1"/>
      <c r="E17" s="1"/>
      <c r="F17" s="1"/>
      <c r="G17" s="1"/>
      <c r="H17" s="1"/>
      <c r="I17" s="1"/>
      <c r="J17" s="1"/>
      <c r="K17" s="1"/>
      <c r="L17" s="1"/>
      <c r="M17" s="1"/>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row>
    <row r="18" spans="1:41" ht="12.75">
      <c r="A18" s="1"/>
      <c r="B18" s="504" t="s">
        <v>525</v>
      </c>
      <c r="C18" s="495"/>
      <c r="D18" s="495"/>
      <c r="E18" s="495"/>
      <c r="F18" s="495"/>
      <c r="G18" s="495"/>
      <c r="H18" s="495"/>
      <c r="I18" s="495"/>
      <c r="J18" s="495"/>
      <c r="K18" s="495"/>
      <c r="L18" s="495"/>
      <c r="M18" s="1"/>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row>
    <row r="19" spans="1:41" ht="12.75">
      <c r="A19" s="1"/>
      <c r="B19" s="497" t="s">
        <v>463</v>
      </c>
      <c r="C19" s="495"/>
      <c r="D19" s="495"/>
      <c r="E19" s="495"/>
      <c r="F19" s="495"/>
      <c r="G19" s="495"/>
      <c r="H19" s="495"/>
      <c r="I19" s="495"/>
      <c r="J19" s="495"/>
      <c r="K19" s="495"/>
      <c r="L19" s="495"/>
      <c r="M19" s="1"/>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row>
    <row r="20" spans="1:41" ht="12.75">
      <c r="A20" s="1"/>
      <c r="B20" s="497" t="s">
        <v>623</v>
      </c>
      <c r="C20" s="495"/>
      <c r="D20" s="495"/>
      <c r="E20" s="495"/>
      <c r="F20" s="495"/>
      <c r="G20" s="495"/>
      <c r="H20" s="495"/>
      <c r="I20" s="495"/>
      <c r="J20" s="495"/>
      <c r="K20" s="495"/>
      <c r="L20" s="495"/>
      <c r="M20" s="1"/>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row>
    <row r="21" spans="1:41" ht="12.75">
      <c r="A21" s="1"/>
      <c r="B21" s="497"/>
      <c r="C21" s="495"/>
      <c r="D21" s="495"/>
      <c r="E21" s="495"/>
      <c r="F21" s="495"/>
      <c r="G21" s="495"/>
      <c r="H21" s="495"/>
      <c r="I21" s="495"/>
      <c r="J21" s="495"/>
      <c r="K21" s="495"/>
      <c r="L21" s="495"/>
      <c r="M21" s="1"/>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row>
    <row r="22" spans="1:41" ht="12.75">
      <c r="A22" s="1"/>
      <c r="B22" s="497" t="s">
        <v>622</v>
      </c>
      <c r="C22" s="495"/>
      <c r="D22" s="495"/>
      <c r="E22" s="499" t="s">
        <v>41</v>
      </c>
      <c r="F22" s="495"/>
      <c r="G22" s="495"/>
      <c r="H22" s="495"/>
      <c r="I22" s="495"/>
      <c r="J22" s="495"/>
      <c r="K22" s="495"/>
      <c r="L22" s="495"/>
      <c r="M22" s="1"/>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row>
    <row r="23" spans="1:41" ht="12.75">
      <c r="A23" s="1"/>
      <c r="B23" s="498"/>
      <c r="C23" s="495"/>
      <c r="D23" s="495"/>
      <c r="E23" s="495"/>
      <c r="F23" s="495"/>
      <c r="G23" s="495"/>
      <c r="H23" s="495"/>
      <c r="I23" s="495"/>
      <c r="J23" s="495"/>
      <c r="K23" s="495"/>
      <c r="L23" s="495"/>
      <c r="M23" s="1"/>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row>
    <row r="24" spans="1:41" ht="12.75">
      <c r="A24" s="1"/>
      <c r="B24" s="1"/>
      <c r="C24" s="1"/>
      <c r="D24" s="1"/>
      <c r="E24" s="1"/>
      <c r="F24" s="1"/>
      <c r="G24" s="1"/>
      <c r="H24" s="1"/>
      <c r="I24" s="1"/>
      <c r="J24" s="1"/>
      <c r="K24" s="1"/>
      <c r="L24" s="1"/>
      <c r="M24" s="1"/>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row>
    <row r="25" spans="1:41" ht="12.75">
      <c r="A25" s="1"/>
      <c r="B25" s="498"/>
      <c r="C25" s="495"/>
      <c r="D25" s="495"/>
      <c r="E25" s="495"/>
      <c r="F25" s="495"/>
      <c r="G25" s="495"/>
      <c r="H25" s="495"/>
      <c r="I25" s="495"/>
      <c r="J25" s="495"/>
      <c r="K25" s="495"/>
      <c r="L25" s="495"/>
      <c r="M25" s="1"/>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row>
    <row r="26" spans="1:41" ht="12.75">
      <c r="A26" s="1"/>
      <c r="B26" s="498"/>
      <c r="C26" s="495"/>
      <c r="D26" s="495"/>
      <c r="E26" s="497" t="s">
        <v>621</v>
      </c>
      <c r="F26" s="495"/>
      <c r="G26" s="495"/>
      <c r="H26" s="495"/>
      <c r="I26" s="495"/>
      <c r="J26" s="495"/>
      <c r="K26" s="495"/>
      <c r="L26" s="495"/>
      <c r="M26" s="1"/>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row>
    <row r="27" spans="1:41" ht="12.75">
      <c r="A27" s="1"/>
      <c r="B27" s="498"/>
      <c r="C27" s="495"/>
      <c r="D27" s="495"/>
      <c r="E27" s="497" t="s">
        <v>655</v>
      </c>
      <c r="F27" s="495"/>
      <c r="G27" s="495"/>
      <c r="H27" s="495"/>
      <c r="I27" s="495"/>
      <c r="J27" s="495"/>
      <c r="K27" s="495"/>
      <c r="L27" s="495"/>
      <c r="M27" s="1"/>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row>
    <row r="28" spans="1:41" ht="12.75">
      <c r="A28" s="1"/>
      <c r="B28" s="498"/>
      <c r="C28" s="495"/>
      <c r="D28" s="495"/>
      <c r="E28" s="495"/>
      <c r="F28" s="495"/>
      <c r="G28" s="495"/>
      <c r="H28" s="495"/>
      <c r="I28" s="495"/>
      <c r="J28" s="495"/>
      <c r="K28" s="495"/>
      <c r="L28" s="495"/>
      <c r="M28" s="1"/>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row>
    <row r="29" spans="1:41" ht="12.75">
      <c r="A29" s="1"/>
      <c r="B29" s="498"/>
      <c r="C29" s="495"/>
      <c r="D29" s="495"/>
      <c r="E29" s="495"/>
      <c r="F29" s="495"/>
      <c r="G29" s="495"/>
      <c r="H29" s="495"/>
      <c r="I29" s="495"/>
      <c r="J29" s="495"/>
      <c r="K29" s="495"/>
      <c r="L29" s="495"/>
      <c r="M29" s="1"/>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row>
    <row r="30" spans="1:41" ht="12.75">
      <c r="A30" s="1"/>
      <c r="B30" s="1"/>
      <c r="C30" s="1"/>
      <c r="D30" s="1"/>
      <c r="E30" s="1"/>
      <c r="F30" s="1"/>
      <c r="G30" s="1"/>
      <c r="H30" s="1"/>
      <c r="I30" s="1"/>
      <c r="J30" s="1"/>
      <c r="K30" s="1"/>
      <c r="L30" s="1"/>
      <c r="M30" s="1"/>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row>
    <row r="31" spans="1:41" ht="12.75">
      <c r="A31" s="495"/>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row>
    <row r="32" spans="1:41" ht="12.75">
      <c r="A32" s="495"/>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row>
    <row r="33" spans="1:41" ht="12.75">
      <c r="A33" s="495"/>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row>
    <row r="34" spans="1:41" ht="12.75">
      <c r="A34" s="495"/>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row>
    <row r="35" spans="1:41" ht="12.75">
      <c r="A35" s="495"/>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row>
    <row r="36" spans="1:41" ht="12.75">
      <c r="A36" s="495"/>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row>
    <row r="37" spans="1:41" ht="12.75">
      <c r="A37" s="495"/>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row>
    <row r="38" spans="1:41" ht="12.75">
      <c r="A38" s="495"/>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row>
    <row r="39" spans="1:41" ht="12.75">
      <c r="A39" s="495"/>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row>
    <row r="40" spans="1:41" ht="12.75">
      <c r="A40" s="495"/>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row>
    <row r="41" spans="1:41" ht="12.75">
      <c r="A41" s="495"/>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row>
    <row r="42" spans="1:41" ht="12.75">
      <c r="A42" s="495"/>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row>
    <row r="43" spans="1:41" ht="12.75">
      <c r="A43" s="495"/>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row>
    <row r="44" spans="1:41" ht="12.7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row>
    <row r="45" spans="1:41" ht="12.75">
      <c r="A45" s="495"/>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row>
    <row r="46" spans="1:41" ht="12.75">
      <c r="A46" s="495"/>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row>
    <row r="47" spans="1:41" ht="12.75">
      <c r="A47" s="495"/>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row>
    <row r="48" spans="1:41" ht="12.75">
      <c r="A48" s="495"/>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row>
    <row r="49" spans="1:41" ht="12.75">
      <c r="A49" s="495"/>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row>
    <row r="50" spans="1:41" ht="12.75">
      <c r="A50" s="495"/>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row>
    <row r="51" spans="1:41" ht="12.75">
      <c r="A51" s="495"/>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row>
    <row r="52" spans="1:41" ht="12.75">
      <c r="A52" s="495"/>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row>
    <row r="53" spans="1:41" ht="12.75">
      <c r="A53" s="495"/>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row>
    <row r="54" spans="1:41" ht="12.75">
      <c r="A54" s="495"/>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row>
    <row r="55" spans="1:41" ht="12.75">
      <c r="A55" s="495"/>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row>
    <row r="56" spans="1:41" ht="12.75">
      <c r="A56" s="495"/>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row>
    <row r="57" spans="1:41" ht="12.75">
      <c r="A57" s="495"/>
      <c r="B57" s="495"/>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row>
    <row r="58" spans="1:41" ht="12.75">
      <c r="A58" s="495"/>
      <c r="B58" s="495"/>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row>
    <row r="59" spans="1:41" ht="12.75">
      <c r="A59" s="495"/>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row>
    <row r="60" spans="1:41" ht="12.75">
      <c r="A60" s="495"/>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row>
    <row r="61" spans="1:41" ht="12.75">
      <c r="A61" s="495"/>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row>
    <row r="62" spans="1:41" ht="12.75">
      <c r="A62" s="495"/>
      <c r="B62" s="495"/>
      <c r="C62" s="495"/>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row>
    <row r="63" spans="1:41" ht="12.75">
      <c r="A63" s="495"/>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row>
    <row r="64" spans="1:41" ht="12.75">
      <c r="A64" s="495"/>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row>
    <row r="65" spans="1:41" ht="12.75">
      <c r="A65" s="495"/>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row>
    <row r="66" spans="1:41" ht="12.75">
      <c r="A66" s="495"/>
      <c r="B66" s="495"/>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row>
    <row r="67" spans="1:41" ht="12.75">
      <c r="A67" s="495"/>
      <c r="B67" s="495"/>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row>
    <row r="68" spans="1:41" ht="12.75">
      <c r="A68" s="495"/>
      <c r="B68" s="495"/>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row>
    <row r="69" spans="1:41" ht="12.75">
      <c r="A69" s="495"/>
      <c r="B69" s="495"/>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row>
    <row r="70" spans="1:41" ht="12.75">
      <c r="A70" s="495"/>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row>
    <row r="71" spans="1:41" ht="12.75">
      <c r="A71" s="495"/>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row>
    <row r="72" spans="1:41" ht="12.75">
      <c r="A72" s="495"/>
      <c r="B72" s="495"/>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row>
    <row r="73" spans="1:41" ht="12.75">
      <c r="A73" s="495"/>
      <c r="B73" s="495"/>
      <c r="C73" s="495"/>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row>
    <row r="74" spans="1:41" ht="12.75">
      <c r="A74" s="495"/>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row>
    <row r="75" spans="1:41" ht="12.75">
      <c r="A75" s="495"/>
      <c r="B75" s="495"/>
      <c r="C75" s="495"/>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5"/>
      <c r="AM75" s="495"/>
      <c r="AN75" s="495"/>
      <c r="AO75" s="495"/>
    </row>
    <row r="76" spans="1:41" ht="12.75">
      <c r="A76" s="495"/>
      <c r="B76" s="495"/>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row>
    <row r="77" spans="1:41" ht="12.75">
      <c r="A77" s="495"/>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row>
    <row r="78" spans="1:41" ht="12.75">
      <c r="A78" s="495"/>
      <c r="B78" s="495"/>
      <c r="C78" s="495"/>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row>
    <row r="79" spans="1:41" ht="12.75">
      <c r="A79" s="495"/>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row>
    <row r="80" spans="1:41" ht="12.75">
      <c r="A80" s="495"/>
      <c r="B80" s="495"/>
      <c r="C80" s="495"/>
      <c r="D80" s="495"/>
      <c r="E80" s="495"/>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row>
    <row r="81" spans="1:41" ht="12.75">
      <c r="A81" s="495"/>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row>
    <row r="82" spans="1:41" ht="12.75">
      <c r="A82" s="495"/>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row>
    <row r="83" spans="1:41" ht="12.75">
      <c r="A83" s="495"/>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row>
    <row r="84" spans="1:41" ht="12.75">
      <c r="A84" s="495"/>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row>
    <row r="85" spans="1:41" ht="12.75">
      <c r="A85" s="495"/>
      <c r="B85" s="495"/>
      <c r="C85" s="495"/>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5"/>
      <c r="AN85" s="495"/>
      <c r="AO85" s="495"/>
    </row>
    <row r="86" spans="1:41" ht="12.75">
      <c r="A86" s="495"/>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row>
    <row r="87" spans="1:41" ht="12.75">
      <c r="A87" s="495"/>
      <c r="B87" s="495"/>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row>
    <row r="88" spans="1:41" ht="12.75">
      <c r="A88" s="495"/>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row>
    <row r="89" spans="1:41" ht="12.75">
      <c r="A89" s="495"/>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row>
    <row r="90" spans="1:41" ht="12.75">
      <c r="A90" s="49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row>
    <row r="91" spans="1:41" ht="12.75">
      <c r="A91" s="495"/>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row>
    <row r="92" spans="1:41" ht="12.75">
      <c r="A92" s="495"/>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row>
    <row r="93" spans="1:41" ht="12.75">
      <c r="A93" s="495"/>
      <c r="B93" s="495"/>
      <c r="C93" s="495"/>
      <c r="D93" s="495"/>
      <c r="E93" s="495"/>
      <c r="F93" s="495"/>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row>
    <row r="94" spans="1:41" ht="12.75">
      <c r="A94" s="495"/>
      <c r="B94" s="495"/>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row>
    <row r="95" spans="1:41" ht="12.75">
      <c r="A95" s="495"/>
      <c r="B95" s="495"/>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row>
    <row r="96" spans="1:41" ht="12.75">
      <c r="A96" s="495"/>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row>
    <row r="97" spans="1:41" ht="12.75">
      <c r="A97" s="495"/>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5"/>
      <c r="AL97" s="495"/>
      <c r="AM97" s="495"/>
      <c r="AN97" s="495"/>
      <c r="AO97" s="495"/>
    </row>
    <row r="98" spans="1:41" ht="12.75">
      <c r="A98" s="495"/>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row>
    <row r="99" spans="1:41" ht="12.75">
      <c r="A99" s="495"/>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row>
    <row r="100" spans="1:41" ht="12.75">
      <c r="A100" s="495"/>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5"/>
      <c r="AJ100" s="495"/>
      <c r="AK100" s="495"/>
      <c r="AL100" s="495"/>
      <c r="AM100" s="495"/>
      <c r="AN100" s="495"/>
      <c r="AO100" s="495"/>
    </row>
    <row r="101" spans="1:41" ht="12.75">
      <c r="A101" s="495"/>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c r="AK101" s="495"/>
      <c r="AL101" s="495"/>
      <c r="AM101" s="495"/>
      <c r="AN101" s="495"/>
      <c r="AO101" s="495"/>
    </row>
    <row r="102" spans="1:41" ht="12.75">
      <c r="A102" s="495"/>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row>
    <row r="103" spans="1:41" ht="12.75">
      <c r="A103" s="495"/>
      <c r="B103" s="495"/>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c r="AL103" s="495"/>
      <c r="AM103" s="495"/>
      <c r="AN103" s="495"/>
      <c r="AO103" s="495"/>
    </row>
    <row r="104" spans="1:41" ht="12.75">
      <c r="A104" s="495"/>
      <c r="B104" s="495"/>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495"/>
      <c r="AJ104" s="495"/>
      <c r="AK104" s="495"/>
      <c r="AL104" s="495"/>
      <c r="AM104" s="495"/>
      <c r="AN104" s="495"/>
      <c r="AO104" s="495"/>
    </row>
    <row r="105" spans="1:41" ht="12.75">
      <c r="A105" s="495"/>
      <c r="B105" s="495"/>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5"/>
      <c r="AM105" s="495"/>
      <c r="AN105" s="495"/>
      <c r="AO105" s="495"/>
    </row>
    <row r="106" spans="1:41" ht="12.75">
      <c r="A106" s="495"/>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row>
    <row r="107" spans="1:41" ht="12.75">
      <c r="A107" s="495"/>
      <c r="B107" s="495"/>
      <c r="C107" s="495"/>
      <c r="D107" s="495"/>
      <c r="E107" s="495"/>
      <c r="F107" s="495"/>
      <c r="G107" s="495"/>
      <c r="H107" s="495"/>
      <c r="I107" s="495"/>
      <c r="J107" s="495"/>
      <c r="K107" s="495"/>
      <c r="L107" s="495"/>
      <c r="M107" s="495"/>
      <c r="N107" s="495"/>
      <c r="O107" s="495"/>
      <c r="P107" s="495"/>
      <c r="Q107" s="495"/>
      <c r="R107" s="495"/>
      <c r="S107" s="495"/>
      <c r="T107" s="495"/>
      <c r="U107" s="495"/>
      <c r="V107" s="495"/>
      <c r="W107" s="495"/>
      <c r="X107" s="495"/>
      <c r="Y107" s="495"/>
      <c r="Z107" s="495"/>
      <c r="AA107" s="495"/>
      <c r="AB107" s="495"/>
      <c r="AC107" s="495"/>
      <c r="AD107" s="495"/>
      <c r="AE107" s="495"/>
      <c r="AF107" s="495"/>
      <c r="AG107" s="495"/>
      <c r="AH107" s="495"/>
      <c r="AI107" s="495"/>
      <c r="AJ107" s="495"/>
      <c r="AK107" s="495"/>
      <c r="AL107" s="495"/>
      <c r="AM107" s="495"/>
      <c r="AN107" s="495"/>
      <c r="AO107" s="495"/>
    </row>
    <row r="108" spans="1:41" ht="12.75">
      <c r="A108" s="495"/>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5"/>
      <c r="AM108" s="495"/>
      <c r="AN108" s="495"/>
      <c r="AO108" s="495"/>
    </row>
    <row r="109" spans="1:41" ht="12.75">
      <c r="A109" s="495"/>
      <c r="B109" s="495"/>
      <c r="C109" s="495"/>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495"/>
      <c r="AE109" s="495"/>
      <c r="AF109" s="495"/>
      <c r="AG109" s="495"/>
      <c r="AH109" s="495"/>
      <c r="AI109" s="495"/>
      <c r="AJ109" s="495"/>
      <c r="AK109" s="495"/>
      <c r="AL109" s="495"/>
      <c r="AM109" s="495"/>
      <c r="AN109" s="495"/>
      <c r="AO109" s="495"/>
    </row>
    <row r="110" spans="1:41" ht="12.75">
      <c r="A110" s="495"/>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row>
    <row r="111" spans="1:41" ht="12.75">
      <c r="A111" s="495"/>
      <c r="B111" s="495"/>
      <c r="C111" s="495"/>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495"/>
      <c r="AE111" s="495"/>
      <c r="AF111" s="495"/>
      <c r="AG111" s="495"/>
      <c r="AH111" s="495"/>
      <c r="AI111" s="495"/>
      <c r="AJ111" s="495"/>
      <c r="AK111" s="495"/>
      <c r="AL111" s="495"/>
      <c r="AM111" s="495"/>
      <c r="AN111" s="495"/>
      <c r="AO111" s="495"/>
    </row>
    <row r="112" spans="1:41" ht="12.75">
      <c r="A112" s="495"/>
      <c r="B112" s="495"/>
      <c r="C112" s="495"/>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5"/>
      <c r="AG112" s="495"/>
      <c r="AH112" s="495"/>
      <c r="AI112" s="495"/>
      <c r="AJ112" s="495"/>
      <c r="AK112" s="495"/>
      <c r="AL112" s="495"/>
      <c r="AM112" s="495"/>
      <c r="AN112" s="495"/>
      <c r="AO112" s="495"/>
    </row>
    <row r="113" spans="1:41" ht="12.75">
      <c r="A113" s="495"/>
      <c r="B113" s="495"/>
      <c r="C113" s="495"/>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c r="AI113" s="495"/>
      <c r="AJ113" s="495"/>
      <c r="AK113" s="495"/>
      <c r="AL113" s="495"/>
      <c r="AM113" s="495"/>
      <c r="AN113" s="495"/>
      <c r="AO113" s="495"/>
    </row>
    <row r="114" spans="1:41" ht="12.75">
      <c r="A114" s="495"/>
      <c r="B114" s="495"/>
      <c r="C114" s="495"/>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495"/>
      <c r="AE114" s="495"/>
      <c r="AF114" s="495"/>
      <c r="AG114" s="495"/>
      <c r="AH114" s="495"/>
      <c r="AI114" s="495"/>
      <c r="AJ114" s="495"/>
      <c r="AK114" s="495"/>
      <c r="AL114" s="495"/>
      <c r="AM114" s="495"/>
      <c r="AN114" s="495"/>
      <c r="AO114" s="495"/>
    </row>
    <row r="115" spans="1:41" ht="12.75">
      <c r="A115" s="495"/>
      <c r="B115" s="495"/>
      <c r="C115" s="495"/>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495"/>
      <c r="AN115" s="495"/>
      <c r="AO115" s="495"/>
    </row>
    <row r="116" spans="1:41" ht="12.75">
      <c r="A116" s="495"/>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row>
    <row r="117" spans="1:41" ht="12.75">
      <c r="A117" s="495"/>
      <c r="B117" s="495"/>
      <c r="C117" s="495"/>
      <c r="D117" s="495"/>
      <c r="E117" s="495"/>
      <c r="F117" s="495"/>
      <c r="G117" s="495"/>
      <c r="H117" s="495"/>
      <c r="I117" s="495"/>
      <c r="J117" s="495"/>
      <c r="K117" s="495"/>
      <c r="L117" s="495"/>
      <c r="M117" s="495"/>
      <c r="N117" s="495"/>
      <c r="O117" s="495"/>
      <c r="P117" s="495"/>
      <c r="Q117" s="495"/>
      <c r="R117" s="495"/>
      <c r="S117" s="495"/>
      <c r="T117" s="495"/>
      <c r="U117" s="495"/>
      <c r="V117" s="495"/>
      <c r="W117" s="495"/>
      <c r="X117" s="495"/>
      <c r="Y117" s="495"/>
      <c r="Z117" s="495"/>
      <c r="AA117" s="495"/>
      <c r="AB117" s="495"/>
      <c r="AC117" s="495"/>
      <c r="AD117" s="495"/>
      <c r="AE117" s="495"/>
      <c r="AF117" s="495"/>
      <c r="AG117" s="495"/>
      <c r="AH117" s="495"/>
      <c r="AI117" s="495"/>
      <c r="AJ117" s="495"/>
      <c r="AK117" s="495"/>
      <c r="AL117" s="495"/>
      <c r="AM117" s="495"/>
      <c r="AN117" s="495"/>
      <c r="AO117" s="495"/>
    </row>
    <row r="118" spans="1:41" ht="12.75">
      <c r="A118" s="495"/>
      <c r="B118" s="495"/>
      <c r="C118" s="495"/>
      <c r="D118" s="495"/>
      <c r="E118" s="495"/>
      <c r="F118" s="495"/>
      <c r="G118" s="495"/>
      <c r="H118" s="495"/>
      <c r="I118" s="495"/>
      <c r="J118" s="495"/>
      <c r="K118" s="495"/>
      <c r="L118" s="495"/>
      <c r="M118" s="495"/>
      <c r="N118" s="495"/>
      <c r="O118" s="495"/>
      <c r="P118" s="495"/>
      <c r="Q118" s="495"/>
      <c r="R118" s="495"/>
      <c r="S118" s="495"/>
      <c r="T118" s="495"/>
      <c r="U118" s="495"/>
      <c r="V118" s="495"/>
      <c r="W118" s="495"/>
      <c r="X118" s="495"/>
      <c r="Y118" s="495"/>
      <c r="Z118" s="495"/>
      <c r="AA118" s="495"/>
      <c r="AB118" s="495"/>
      <c r="AC118" s="495"/>
      <c r="AD118" s="495"/>
      <c r="AE118" s="495"/>
      <c r="AF118" s="495"/>
      <c r="AG118" s="495"/>
      <c r="AH118" s="495"/>
      <c r="AI118" s="495"/>
      <c r="AJ118" s="495"/>
      <c r="AK118" s="495"/>
      <c r="AL118" s="495"/>
      <c r="AM118" s="495"/>
      <c r="AN118" s="495"/>
      <c r="AO118" s="495"/>
    </row>
    <row r="119" spans="1:41" ht="12.75">
      <c r="A119" s="495"/>
      <c r="B119" s="495"/>
      <c r="C119" s="495"/>
      <c r="D119" s="495"/>
      <c r="E119" s="495"/>
      <c r="F119" s="495"/>
      <c r="G119" s="495"/>
      <c r="H119" s="495"/>
      <c r="I119" s="495"/>
      <c r="J119" s="495"/>
      <c r="K119" s="495"/>
      <c r="L119" s="495"/>
      <c r="M119" s="495"/>
      <c r="N119" s="495"/>
      <c r="O119" s="495"/>
      <c r="P119" s="495"/>
      <c r="Q119" s="495"/>
      <c r="R119" s="495"/>
      <c r="S119" s="495"/>
      <c r="T119" s="495"/>
      <c r="U119" s="495"/>
      <c r="V119" s="495"/>
      <c r="W119" s="495"/>
      <c r="X119" s="495"/>
      <c r="Y119" s="495"/>
      <c r="Z119" s="495"/>
      <c r="AA119" s="495"/>
      <c r="AB119" s="495"/>
      <c r="AC119" s="495"/>
      <c r="AD119" s="495"/>
      <c r="AE119" s="495"/>
      <c r="AF119" s="495"/>
      <c r="AG119" s="495"/>
      <c r="AH119" s="495"/>
      <c r="AI119" s="495"/>
      <c r="AJ119" s="495"/>
      <c r="AK119" s="495"/>
      <c r="AL119" s="495"/>
      <c r="AM119" s="495"/>
      <c r="AN119" s="495"/>
      <c r="AO119" s="495"/>
    </row>
    <row r="120" spans="1:41" ht="12.75">
      <c r="A120" s="495"/>
      <c r="B120" s="495"/>
      <c r="C120" s="495"/>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495"/>
      <c r="AE120" s="495"/>
      <c r="AF120" s="495"/>
      <c r="AG120" s="495"/>
      <c r="AH120" s="495"/>
      <c r="AI120" s="495"/>
      <c r="AJ120" s="495"/>
      <c r="AK120" s="495"/>
      <c r="AL120" s="495"/>
      <c r="AM120" s="495"/>
      <c r="AN120" s="495"/>
      <c r="AO120" s="495"/>
    </row>
    <row r="121" spans="1:41" ht="12.75">
      <c r="A121" s="495"/>
      <c r="B121" s="495"/>
      <c r="C121" s="495"/>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495"/>
      <c r="AE121" s="495"/>
      <c r="AF121" s="495"/>
      <c r="AG121" s="495"/>
      <c r="AH121" s="495"/>
      <c r="AI121" s="495"/>
      <c r="AJ121" s="495"/>
      <c r="AK121" s="495"/>
      <c r="AL121" s="495"/>
      <c r="AM121" s="495"/>
      <c r="AN121" s="495"/>
      <c r="AO121" s="495"/>
    </row>
    <row r="122" spans="1:41" ht="12.75">
      <c r="A122" s="495"/>
      <c r="B122" s="495"/>
      <c r="C122" s="495"/>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5"/>
      <c r="AD122" s="495"/>
      <c r="AE122" s="495"/>
      <c r="AF122" s="495"/>
      <c r="AG122" s="495"/>
      <c r="AH122" s="495"/>
      <c r="AI122" s="495"/>
      <c r="AJ122" s="495"/>
      <c r="AK122" s="495"/>
      <c r="AL122" s="495"/>
      <c r="AM122" s="495"/>
      <c r="AN122" s="495"/>
      <c r="AO122" s="495"/>
    </row>
    <row r="123" spans="1:41" ht="12.75">
      <c r="A123" s="495"/>
      <c r="B123" s="495"/>
      <c r="C123" s="495"/>
      <c r="D123" s="495"/>
      <c r="E123" s="495"/>
      <c r="F123" s="495"/>
      <c r="G123" s="495"/>
      <c r="H123" s="495"/>
      <c r="I123" s="495"/>
      <c r="J123" s="495"/>
      <c r="K123" s="495"/>
      <c r="L123" s="495"/>
      <c r="M123" s="495"/>
      <c r="N123" s="495"/>
      <c r="O123" s="495"/>
      <c r="P123" s="495"/>
      <c r="Q123" s="495"/>
      <c r="R123" s="495"/>
      <c r="S123" s="495"/>
      <c r="T123" s="495"/>
      <c r="U123" s="495"/>
      <c r="V123" s="495"/>
      <c r="W123" s="495"/>
      <c r="X123" s="495"/>
      <c r="Y123" s="495"/>
      <c r="Z123" s="495"/>
      <c r="AA123" s="495"/>
      <c r="AB123" s="495"/>
      <c r="AC123" s="495"/>
      <c r="AD123" s="495"/>
      <c r="AE123" s="495"/>
      <c r="AF123" s="495"/>
      <c r="AG123" s="495"/>
      <c r="AH123" s="495"/>
      <c r="AI123" s="495"/>
      <c r="AJ123" s="495"/>
      <c r="AK123" s="495"/>
      <c r="AL123" s="495"/>
      <c r="AM123" s="495"/>
      <c r="AN123" s="495"/>
      <c r="AO123" s="495"/>
    </row>
    <row r="124" spans="1:41" ht="12.75">
      <c r="A124" s="495"/>
      <c r="B124" s="495"/>
      <c r="C124" s="495"/>
      <c r="D124" s="495"/>
      <c r="E124" s="495"/>
      <c r="F124" s="495"/>
      <c r="G124" s="495"/>
      <c r="H124" s="495"/>
      <c r="I124" s="495"/>
      <c r="J124" s="495"/>
      <c r="K124" s="495"/>
      <c r="L124" s="495"/>
      <c r="M124" s="495"/>
      <c r="N124" s="495"/>
      <c r="O124" s="495"/>
      <c r="P124" s="495"/>
      <c r="Q124" s="495"/>
      <c r="R124" s="495"/>
      <c r="S124" s="495"/>
      <c r="T124" s="495"/>
      <c r="U124" s="495"/>
      <c r="V124" s="495"/>
      <c r="W124" s="495"/>
      <c r="X124" s="495"/>
      <c r="Y124" s="495"/>
      <c r="Z124" s="495"/>
      <c r="AA124" s="495"/>
      <c r="AB124" s="495"/>
      <c r="AC124" s="495"/>
      <c r="AD124" s="495"/>
      <c r="AE124" s="495"/>
      <c r="AF124" s="495"/>
      <c r="AG124" s="495"/>
      <c r="AH124" s="495"/>
      <c r="AI124" s="495"/>
      <c r="AJ124" s="495"/>
      <c r="AK124" s="495"/>
      <c r="AL124" s="495"/>
      <c r="AM124" s="495"/>
      <c r="AN124" s="495"/>
      <c r="AO124" s="495"/>
    </row>
    <row r="125" spans="1:41" ht="12.75">
      <c r="A125" s="495"/>
      <c r="B125" s="495"/>
      <c r="C125" s="495"/>
      <c r="D125" s="495"/>
      <c r="E125" s="495"/>
      <c r="F125" s="495"/>
      <c r="G125" s="495"/>
      <c r="H125" s="495"/>
      <c r="I125" s="495"/>
      <c r="J125" s="495"/>
      <c r="K125" s="495"/>
      <c r="L125" s="495"/>
      <c r="M125" s="495"/>
      <c r="N125" s="495"/>
      <c r="O125" s="495"/>
      <c r="P125" s="495"/>
      <c r="Q125" s="495"/>
      <c r="R125" s="495"/>
      <c r="S125" s="495"/>
      <c r="T125" s="495"/>
      <c r="U125" s="495"/>
      <c r="V125" s="495"/>
      <c r="W125" s="495"/>
      <c r="X125" s="495"/>
      <c r="Y125" s="495"/>
      <c r="Z125" s="495"/>
      <c r="AA125" s="495"/>
      <c r="AB125" s="495"/>
      <c r="AC125" s="495"/>
      <c r="AD125" s="495"/>
      <c r="AE125" s="495"/>
      <c r="AF125" s="495"/>
      <c r="AG125" s="495"/>
      <c r="AH125" s="495"/>
      <c r="AI125" s="495"/>
      <c r="AJ125" s="495"/>
      <c r="AK125" s="495"/>
      <c r="AL125" s="495"/>
      <c r="AM125" s="495"/>
      <c r="AN125" s="495"/>
      <c r="AO125" s="495"/>
    </row>
    <row r="126" spans="1:41" ht="12.75">
      <c r="A126" s="495"/>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row>
    <row r="127" spans="1:41" ht="12.75">
      <c r="A127" s="495"/>
      <c r="B127" s="495"/>
      <c r="C127" s="495"/>
      <c r="D127" s="495"/>
      <c r="E127" s="495"/>
      <c r="F127" s="495"/>
      <c r="G127" s="495"/>
      <c r="H127" s="495"/>
      <c r="I127" s="495"/>
      <c r="J127" s="495"/>
      <c r="K127" s="495"/>
      <c r="L127" s="495"/>
      <c r="M127" s="495"/>
      <c r="N127" s="495"/>
      <c r="O127" s="495"/>
      <c r="P127" s="495"/>
      <c r="Q127" s="495"/>
      <c r="R127" s="495"/>
      <c r="S127" s="495"/>
      <c r="T127" s="495"/>
      <c r="U127" s="495"/>
      <c r="V127" s="495"/>
      <c r="W127" s="495"/>
      <c r="X127" s="495"/>
      <c r="Y127" s="495"/>
      <c r="Z127" s="495"/>
      <c r="AA127" s="495"/>
      <c r="AB127" s="495"/>
      <c r="AC127" s="495"/>
      <c r="AD127" s="495"/>
      <c r="AE127" s="495"/>
      <c r="AF127" s="495"/>
      <c r="AG127" s="495"/>
      <c r="AH127" s="495"/>
      <c r="AI127" s="495"/>
      <c r="AJ127" s="495"/>
      <c r="AK127" s="495"/>
      <c r="AL127" s="495"/>
      <c r="AM127" s="495"/>
      <c r="AN127" s="495"/>
      <c r="AO127" s="495"/>
    </row>
    <row r="128" spans="1:41" ht="12.75">
      <c r="A128" s="495"/>
      <c r="B128" s="495"/>
      <c r="C128" s="495"/>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95"/>
      <c r="AC128" s="495"/>
      <c r="AD128" s="495"/>
      <c r="AE128" s="495"/>
      <c r="AF128" s="495"/>
      <c r="AG128" s="495"/>
      <c r="AH128" s="495"/>
      <c r="AI128" s="495"/>
      <c r="AJ128" s="495"/>
      <c r="AK128" s="495"/>
      <c r="AL128" s="495"/>
      <c r="AM128" s="495"/>
      <c r="AN128" s="495"/>
      <c r="AO128" s="495"/>
    </row>
    <row r="129" spans="1:41" ht="12.75">
      <c r="A129" s="495"/>
      <c r="B129" s="495"/>
      <c r="C129" s="495"/>
      <c r="D129" s="495"/>
      <c r="E129" s="495"/>
      <c r="F129" s="495"/>
      <c r="G129" s="495"/>
      <c r="H129" s="495"/>
      <c r="I129" s="495"/>
      <c r="J129" s="495"/>
      <c r="K129" s="495"/>
      <c r="L129" s="495"/>
      <c r="M129" s="495"/>
      <c r="N129" s="495"/>
      <c r="O129" s="495"/>
      <c r="P129" s="495"/>
      <c r="Q129" s="495"/>
      <c r="R129" s="495"/>
      <c r="S129" s="495"/>
      <c r="T129" s="495"/>
      <c r="U129" s="495"/>
      <c r="V129" s="495"/>
      <c r="W129" s="495"/>
      <c r="X129" s="495"/>
      <c r="Y129" s="495"/>
      <c r="Z129" s="495"/>
      <c r="AA129" s="495"/>
      <c r="AB129" s="495"/>
      <c r="AC129" s="495"/>
      <c r="AD129" s="495"/>
      <c r="AE129" s="495"/>
      <c r="AF129" s="495"/>
      <c r="AG129" s="495"/>
      <c r="AH129" s="495"/>
      <c r="AI129" s="495"/>
      <c r="AJ129" s="495"/>
      <c r="AK129" s="495"/>
      <c r="AL129" s="495"/>
      <c r="AM129" s="495"/>
      <c r="AN129" s="495"/>
      <c r="AO129" s="495"/>
    </row>
    <row r="130" spans="1:41" ht="12.75">
      <c r="A130" s="495"/>
      <c r="B130" s="495"/>
      <c r="C130" s="495"/>
      <c r="D130" s="495"/>
      <c r="E130" s="495"/>
      <c r="F130" s="495"/>
      <c r="G130" s="495"/>
      <c r="H130" s="495"/>
      <c r="I130" s="495"/>
      <c r="J130" s="495"/>
      <c r="K130" s="495"/>
      <c r="L130" s="495"/>
      <c r="M130" s="495"/>
      <c r="N130" s="495"/>
      <c r="O130" s="495"/>
      <c r="P130" s="495"/>
      <c r="Q130" s="495"/>
      <c r="R130" s="495"/>
      <c r="S130" s="495"/>
      <c r="T130" s="495"/>
      <c r="U130" s="495"/>
      <c r="V130" s="495"/>
      <c r="W130" s="495"/>
      <c r="X130" s="495"/>
      <c r="Y130" s="495"/>
      <c r="Z130" s="495"/>
      <c r="AA130" s="495"/>
      <c r="AB130" s="495"/>
      <c r="AC130" s="495"/>
      <c r="AD130" s="495"/>
      <c r="AE130" s="495"/>
      <c r="AF130" s="495"/>
      <c r="AG130" s="495"/>
      <c r="AH130" s="495"/>
      <c r="AI130" s="495"/>
      <c r="AJ130" s="495"/>
      <c r="AK130" s="495"/>
      <c r="AL130" s="495"/>
      <c r="AM130" s="495"/>
      <c r="AN130" s="495"/>
      <c r="AO130" s="495"/>
    </row>
    <row r="131" spans="1:41" ht="12.75">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5"/>
      <c r="AM131" s="495"/>
      <c r="AN131" s="495"/>
      <c r="AO131" s="495"/>
    </row>
    <row r="132" spans="1:41" ht="12.75">
      <c r="A132" s="495"/>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495"/>
      <c r="AM132" s="495"/>
      <c r="AN132" s="495"/>
      <c r="AO132" s="495"/>
    </row>
    <row r="133" spans="1:41" ht="12.75">
      <c r="A133" s="495"/>
      <c r="B133" s="495"/>
      <c r="C133" s="495"/>
      <c r="D133" s="495"/>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row>
    <row r="134" spans="1:41" ht="12.75">
      <c r="A134" s="495"/>
      <c r="B134" s="495"/>
      <c r="C134" s="495"/>
      <c r="D134" s="495"/>
      <c r="E134" s="495"/>
      <c r="F134" s="495"/>
      <c r="G134" s="495"/>
      <c r="H134" s="495"/>
      <c r="I134" s="495"/>
      <c r="J134" s="495"/>
      <c r="K134" s="495"/>
      <c r="L134" s="495"/>
      <c r="M134" s="495"/>
      <c r="N134" s="495"/>
      <c r="O134" s="495"/>
      <c r="P134" s="495"/>
      <c r="Q134" s="495"/>
      <c r="R134" s="495"/>
      <c r="S134" s="495"/>
      <c r="T134" s="495"/>
      <c r="U134" s="495"/>
      <c r="V134" s="495"/>
      <c r="W134" s="495"/>
      <c r="X134" s="495"/>
      <c r="Y134" s="495"/>
      <c r="Z134" s="495"/>
      <c r="AA134" s="495"/>
      <c r="AB134" s="495"/>
      <c r="AC134" s="495"/>
      <c r="AD134" s="495"/>
      <c r="AE134" s="495"/>
      <c r="AF134" s="495"/>
      <c r="AG134" s="495"/>
      <c r="AH134" s="495"/>
      <c r="AI134" s="495"/>
      <c r="AJ134" s="495"/>
      <c r="AK134" s="495"/>
      <c r="AL134" s="495"/>
      <c r="AM134" s="495"/>
      <c r="AN134" s="495"/>
      <c r="AO134" s="495"/>
    </row>
    <row r="135" spans="1:41" ht="12">
      <c r="A135" s="495"/>
      <c r="B135" s="495"/>
      <c r="C135" s="495"/>
      <c r="D135" s="495"/>
      <c r="E135" s="495"/>
      <c r="F135" s="495"/>
      <c r="G135" s="495"/>
      <c r="H135" s="495"/>
      <c r="I135" s="495"/>
      <c r="J135" s="495"/>
      <c r="K135" s="495"/>
      <c r="L135" s="495"/>
      <c r="M135" s="495"/>
      <c r="N135" s="495"/>
      <c r="O135" s="495"/>
      <c r="P135" s="495"/>
      <c r="Q135" s="495"/>
      <c r="R135" s="495"/>
      <c r="S135" s="495"/>
      <c r="T135" s="495"/>
      <c r="U135" s="495"/>
      <c r="V135" s="495"/>
      <c r="W135" s="495"/>
      <c r="X135" s="495"/>
      <c r="Y135" s="495"/>
      <c r="Z135" s="495"/>
      <c r="AA135" s="495"/>
      <c r="AB135" s="495"/>
      <c r="AC135" s="495"/>
      <c r="AD135" s="495"/>
      <c r="AE135" s="495"/>
      <c r="AF135" s="495"/>
      <c r="AG135" s="495"/>
      <c r="AH135" s="495"/>
      <c r="AI135" s="495"/>
      <c r="AJ135" s="495"/>
      <c r="AK135" s="495"/>
      <c r="AL135" s="495"/>
      <c r="AM135" s="495"/>
      <c r="AN135" s="495"/>
      <c r="AO135" s="495"/>
    </row>
    <row r="136" spans="1:41" ht="12">
      <c r="A136" s="495"/>
      <c r="B136" s="495"/>
      <c r="C136" s="495"/>
      <c r="D136" s="495"/>
      <c r="E136" s="495"/>
      <c r="F136" s="495"/>
      <c r="G136" s="495"/>
      <c r="H136" s="495"/>
      <c r="I136" s="495"/>
      <c r="J136" s="495"/>
      <c r="K136" s="495"/>
      <c r="L136" s="495"/>
      <c r="M136" s="495"/>
      <c r="N136" s="495"/>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95"/>
      <c r="AJ136" s="495"/>
      <c r="AK136" s="495"/>
      <c r="AL136" s="495"/>
      <c r="AM136" s="495"/>
      <c r="AN136" s="495"/>
      <c r="AO136" s="495"/>
    </row>
    <row r="137" spans="1:41" ht="12">
      <c r="A137" s="495"/>
      <c r="B137" s="495"/>
      <c r="C137" s="495"/>
      <c r="D137" s="495"/>
      <c r="E137" s="495"/>
      <c r="F137" s="495"/>
      <c r="G137" s="495"/>
      <c r="H137" s="495"/>
      <c r="I137" s="495"/>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row>
    <row r="138" spans="1:41" ht="12">
      <c r="A138" s="495"/>
      <c r="B138" s="495"/>
      <c r="C138" s="495"/>
      <c r="D138" s="495"/>
      <c r="E138" s="495"/>
      <c r="F138" s="495"/>
      <c r="G138" s="495"/>
      <c r="H138" s="495"/>
      <c r="I138" s="495"/>
      <c r="J138" s="495"/>
      <c r="K138" s="495"/>
      <c r="L138" s="495"/>
      <c r="M138" s="495"/>
      <c r="N138" s="495"/>
      <c r="O138" s="495"/>
      <c r="P138" s="495"/>
      <c r="Q138" s="495"/>
      <c r="R138" s="495"/>
      <c r="S138" s="495"/>
      <c r="T138" s="495"/>
      <c r="U138" s="495"/>
      <c r="V138" s="495"/>
      <c r="W138" s="495"/>
      <c r="X138" s="495"/>
      <c r="Y138" s="495"/>
      <c r="Z138" s="495"/>
      <c r="AA138" s="495"/>
      <c r="AB138" s="495"/>
      <c r="AC138" s="495"/>
      <c r="AD138" s="495"/>
      <c r="AE138" s="495"/>
      <c r="AF138" s="495"/>
      <c r="AG138" s="495"/>
      <c r="AH138" s="495"/>
      <c r="AI138" s="495"/>
      <c r="AJ138" s="495"/>
      <c r="AK138" s="495"/>
      <c r="AL138" s="495"/>
      <c r="AM138" s="495"/>
      <c r="AN138" s="495"/>
      <c r="AO138" s="495"/>
    </row>
    <row r="139" spans="1:41" ht="12">
      <c r="A139" s="495"/>
      <c r="B139" s="495"/>
      <c r="C139" s="495"/>
      <c r="D139" s="495"/>
      <c r="E139" s="495"/>
      <c r="F139" s="495"/>
      <c r="G139" s="495"/>
      <c r="H139" s="495"/>
      <c r="I139" s="495"/>
      <c r="J139" s="495"/>
      <c r="K139" s="495"/>
      <c r="L139" s="495"/>
      <c r="M139" s="495"/>
      <c r="N139" s="495"/>
      <c r="O139" s="495"/>
      <c r="P139" s="495"/>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row>
    <row r="140" spans="1:41" ht="12">
      <c r="A140" s="495"/>
      <c r="B140" s="495"/>
      <c r="C140" s="495"/>
      <c r="D140" s="495"/>
      <c r="E140" s="495"/>
      <c r="F140" s="495"/>
      <c r="G140" s="495"/>
      <c r="H140" s="495"/>
      <c r="I140" s="495"/>
      <c r="J140" s="495"/>
      <c r="K140" s="495"/>
      <c r="L140" s="495"/>
      <c r="M140" s="495"/>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495"/>
      <c r="AL140" s="495"/>
      <c r="AM140" s="495"/>
      <c r="AN140" s="495"/>
      <c r="AO140" s="495"/>
    </row>
    <row r="141" spans="1:41" ht="12">
      <c r="A141" s="495"/>
      <c r="B141" s="495"/>
      <c r="C141" s="495"/>
      <c r="D141" s="495"/>
      <c r="E141" s="495"/>
      <c r="F141" s="495"/>
      <c r="G141" s="495"/>
      <c r="H141" s="495"/>
      <c r="I141" s="495"/>
      <c r="J141" s="495"/>
      <c r="K141" s="495"/>
      <c r="L141" s="495"/>
      <c r="M141" s="495"/>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row>
    <row r="142" spans="1:41" ht="12">
      <c r="A142" s="495"/>
      <c r="B142" s="495"/>
      <c r="C142" s="495"/>
      <c r="D142" s="495"/>
      <c r="E142" s="495"/>
      <c r="F142" s="495"/>
      <c r="G142" s="495"/>
      <c r="H142" s="495"/>
      <c r="I142" s="495"/>
      <c r="J142" s="495"/>
      <c r="K142" s="495"/>
      <c r="L142" s="495"/>
      <c r="M142" s="495"/>
      <c r="N142" s="495"/>
      <c r="O142" s="495"/>
      <c r="P142" s="495"/>
      <c r="Q142" s="495"/>
      <c r="R142" s="495"/>
      <c r="S142" s="495"/>
      <c r="T142" s="495"/>
      <c r="U142" s="495"/>
      <c r="V142" s="495"/>
      <c r="W142" s="495"/>
      <c r="X142" s="495"/>
      <c r="Y142" s="495"/>
      <c r="Z142" s="495"/>
      <c r="AA142" s="495"/>
      <c r="AB142" s="495"/>
      <c r="AC142" s="495"/>
      <c r="AD142" s="495"/>
      <c r="AE142" s="495"/>
      <c r="AF142" s="495"/>
      <c r="AG142" s="495"/>
      <c r="AH142" s="495"/>
      <c r="AI142" s="495"/>
      <c r="AJ142" s="495"/>
      <c r="AK142" s="495"/>
      <c r="AL142" s="495"/>
      <c r="AM142" s="495"/>
      <c r="AN142" s="495"/>
      <c r="AO142" s="495"/>
    </row>
    <row r="143" spans="1:41" ht="12">
      <c r="A143" s="495"/>
      <c r="B143" s="495"/>
      <c r="C143" s="495"/>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row>
    <row r="144" spans="1:41" ht="12">
      <c r="A144" s="495"/>
      <c r="B144" s="495"/>
      <c r="C144" s="495"/>
      <c r="D144" s="495"/>
      <c r="E144" s="495"/>
      <c r="F144" s="495"/>
      <c r="G144" s="495"/>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row>
    <row r="145" spans="1:41" ht="12">
      <c r="A145" s="495"/>
      <c r="B145" s="495"/>
      <c r="C145" s="495"/>
      <c r="D145" s="495"/>
      <c r="E145" s="495"/>
      <c r="F145" s="495"/>
      <c r="G145" s="495"/>
      <c r="H145" s="495"/>
      <c r="I145" s="495"/>
      <c r="J145" s="495"/>
      <c r="K145" s="495"/>
      <c r="L145" s="495"/>
      <c r="M145" s="495"/>
      <c r="N145" s="495"/>
      <c r="O145" s="495"/>
      <c r="P145" s="495"/>
      <c r="Q145" s="495"/>
      <c r="R145" s="495"/>
      <c r="S145" s="495"/>
      <c r="T145" s="495"/>
      <c r="U145" s="495"/>
      <c r="V145" s="495"/>
      <c r="W145" s="495"/>
      <c r="X145" s="495"/>
      <c r="Y145" s="495"/>
      <c r="Z145" s="495"/>
      <c r="AA145" s="495"/>
      <c r="AB145" s="495"/>
      <c r="AC145" s="495"/>
      <c r="AD145" s="495"/>
      <c r="AE145" s="495"/>
      <c r="AF145" s="495"/>
      <c r="AG145" s="495"/>
      <c r="AH145" s="495"/>
      <c r="AI145" s="495"/>
      <c r="AJ145" s="495"/>
      <c r="AK145" s="495"/>
      <c r="AL145" s="495"/>
      <c r="AM145" s="495"/>
      <c r="AN145" s="495"/>
      <c r="AO145" s="495"/>
    </row>
    <row r="146" spans="1:41" ht="12">
      <c r="A146" s="495"/>
      <c r="B146" s="495"/>
      <c r="C146" s="495"/>
      <c r="D146" s="495"/>
      <c r="E146" s="495"/>
      <c r="F146" s="495"/>
      <c r="G146" s="495"/>
      <c r="H146" s="495"/>
      <c r="I146" s="495"/>
      <c r="J146" s="495"/>
      <c r="K146" s="495"/>
      <c r="L146" s="495"/>
      <c r="M146" s="495"/>
      <c r="N146" s="495"/>
      <c r="O146" s="495"/>
      <c r="P146" s="495"/>
      <c r="Q146" s="495"/>
      <c r="R146" s="495"/>
      <c r="S146" s="495"/>
      <c r="T146" s="495"/>
      <c r="U146" s="495"/>
      <c r="V146" s="495"/>
      <c r="W146" s="495"/>
      <c r="X146" s="495"/>
      <c r="Y146" s="495"/>
      <c r="Z146" s="495"/>
      <c r="AA146" s="495"/>
      <c r="AB146" s="495"/>
      <c r="AC146" s="495"/>
      <c r="AD146" s="495"/>
      <c r="AE146" s="495"/>
      <c r="AF146" s="495"/>
      <c r="AG146" s="495"/>
      <c r="AH146" s="495"/>
      <c r="AI146" s="495"/>
      <c r="AJ146" s="495"/>
      <c r="AK146" s="495"/>
      <c r="AL146" s="495"/>
      <c r="AM146" s="495"/>
      <c r="AN146" s="495"/>
      <c r="AO146" s="495"/>
    </row>
    <row r="147" spans="1:41" ht="12">
      <c r="A147" s="495"/>
      <c r="B147" s="495"/>
      <c r="C147" s="495"/>
      <c r="D147" s="495"/>
      <c r="E147" s="495"/>
      <c r="F147" s="495"/>
      <c r="G147" s="495"/>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row>
    <row r="148" spans="1:41" ht="12">
      <c r="A148" s="495"/>
      <c r="B148" s="495"/>
      <c r="C148" s="495"/>
      <c r="D148" s="495"/>
      <c r="E148" s="495"/>
      <c r="F148" s="495"/>
      <c r="G148" s="495"/>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5"/>
      <c r="AG148" s="495"/>
      <c r="AH148" s="495"/>
      <c r="AI148" s="495"/>
      <c r="AJ148" s="495"/>
      <c r="AK148" s="495"/>
      <c r="AL148" s="495"/>
      <c r="AM148" s="495"/>
      <c r="AN148" s="495"/>
      <c r="AO148" s="495"/>
    </row>
    <row r="149" spans="1:41" ht="12">
      <c r="A149" s="495"/>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row>
    <row r="150" spans="1:41" ht="12">
      <c r="A150" s="495"/>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5"/>
      <c r="AL150" s="495"/>
      <c r="AM150" s="495"/>
      <c r="AN150" s="495"/>
      <c r="AO150" s="495"/>
    </row>
    <row r="151" spans="1:41" ht="12">
      <c r="A151" s="495"/>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row>
    <row r="152" spans="1:41" ht="12">
      <c r="A152" s="495"/>
      <c r="B152" s="495"/>
      <c r="C152" s="495"/>
      <c r="D152" s="495"/>
      <c r="E152" s="495"/>
      <c r="F152" s="495"/>
      <c r="G152" s="495"/>
      <c r="H152" s="495"/>
      <c r="I152" s="495"/>
      <c r="J152" s="495"/>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5"/>
      <c r="AJ152" s="495"/>
      <c r="AK152" s="495"/>
      <c r="AL152" s="495"/>
      <c r="AM152" s="495"/>
      <c r="AN152" s="495"/>
      <c r="AO152" s="495"/>
    </row>
    <row r="153" spans="1:41" ht="12">
      <c r="A153" s="495"/>
      <c r="B153" s="495"/>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row>
    <row r="154" spans="1:41" ht="12">
      <c r="A154" s="495"/>
      <c r="B154" s="495"/>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row>
    <row r="155" spans="1:41" ht="12">
      <c r="A155" s="495"/>
      <c r="B155" s="495"/>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5"/>
      <c r="AL155" s="495"/>
      <c r="AM155" s="495"/>
      <c r="AN155" s="495"/>
      <c r="AO155" s="495"/>
    </row>
    <row r="156" spans="1:41" ht="12">
      <c r="A156" s="495"/>
      <c r="B156" s="495"/>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5"/>
    </row>
    <row r="157" spans="1:41" ht="12">
      <c r="A157" s="495"/>
      <c r="B157" s="495"/>
      <c r="C157" s="495"/>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495"/>
      <c r="AK157" s="495"/>
      <c r="AL157" s="495"/>
      <c r="AM157" s="495"/>
      <c r="AN157" s="495"/>
      <c r="AO157" s="495"/>
    </row>
    <row r="158" spans="1:41" ht="12">
      <c r="A158" s="495"/>
      <c r="B158" s="495"/>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5"/>
      <c r="AL158" s="495"/>
      <c r="AM158" s="495"/>
      <c r="AN158" s="495"/>
      <c r="AO158" s="495"/>
    </row>
    <row r="159" spans="1:41" ht="12">
      <c r="A159" s="495"/>
      <c r="B159" s="495"/>
      <c r="C159" s="495"/>
      <c r="D159" s="495"/>
      <c r="E159" s="495"/>
      <c r="F159" s="495"/>
      <c r="G159" s="495"/>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5"/>
      <c r="AL159" s="495"/>
      <c r="AM159" s="495"/>
      <c r="AN159" s="495"/>
      <c r="AO159" s="495"/>
    </row>
    <row r="160" spans="1:41" ht="12">
      <c r="A160" s="495"/>
      <c r="B160" s="495"/>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row>
    <row r="161" spans="1:41" ht="12">
      <c r="A161" s="495"/>
      <c r="B161" s="495"/>
      <c r="C161" s="495"/>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5"/>
      <c r="AL161" s="495"/>
      <c r="AM161" s="495"/>
      <c r="AN161" s="495"/>
      <c r="AO161" s="495"/>
    </row>
    <row r="162" spans="1:41" ht="12">
      <c r="A162" s="495"/>
      <c r="B162" s="495"/>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row>
    <row r="163" spans="1:41" ht="12">
      <c r="A163" s="495"/>
      <c r="B163" s="495"/>
      <c r="C163" s="495"/>
      <c r="D163" s="495"/>
      <c r="E163" s="495"/>
      <c r="F163" s="495"/>
      <c r="G163" s="495"/>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495"/>
      <c r="AM163" s="495"/>
      <c r="AN163" s="495"/>
      <c r="AO163" s="495"/>
    </row>
    <row r="164" spans="1:41" ht="12">
      <c r="A164" s="495"/>
      <c r="B164" s="495"/>
      <c r="C164" s="495"/>
      <c r="D164" s="495"/>
      <c r="E164" s="495"/>
      <c r="F164" s="495"/>
      <c r="G164" s="495"/>
      <c r="H164" s="495"/>
      <c r="I164" s="495"/>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5"/>
      <c r="AL164" s="495"/>
      <c r="AM164" s="495"/>
      <c r="AN164" s="495"/>
      <c r="AO164" s="495"/>
    </row>
    <row r="165" spans="1:41" ht="12">
      <c r="A165" s="495"/>
      <c r="B165" s="495"/>
      <c r="C165" s="495"/>
      <c r="D165" s="495"/>
      <c r="E165" s="495"/>
      <c r="F165" s="495"/>
      <c r="G165" s="495"/>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5"/>
      <c r="AL165" s="495"/>
      <c r="AM165" s="495"/>
      <c r="AN165" s="495"/>
      <c r="AO165" s="495"/>
    </row>
    <row r="166" spans="1:41" ht="12">
      <c r="A166" s="495"/>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5"/>
      <c r="AL166" s="495"/>
      <c r="AM166" s="495"/>
      <c r="AN166" s="495"/>
      <c r="AO166" s="495"/>
    </row>
    <row r="167" spans="1:41" ht="12">
      <c r="A167" s="495"/>
      <c r="B167" s="495"/>
      <c r="C167" s="495"/>
      <c r="D167" s="495"/>
      <c r="E167" s="495"/>
      <c r="F167" s="495"/>
      <c r="G167" s="495"/>
      <c r="H167" s="495"/>
      <c r="I167" s="495"/>
      <c r="J167" s="495"/>
      <c r="K167" s="495"/>
      <c r="L167" s="495"/>
      <c r="M167" s="495"/>
      <c r="N167" s="495"/>
      <c r="O167" s="495"/>
      <c r="P167" s="495"/>
      <c r="Q167" s="495"/>
      <c r="R167" s="495"/>
      <c r="S167" s="495"/>
      <c r="T167" s="495"/>
      <c r="U167" s="495"/>
      <c r="V167" s="495"/>
      <c r="W167" s="495"/>
      <c r="X167" s="495"/>
      <c r="Y167" s="495"/>
      <c r="Z167" s="495"/>
      <c r="AA167" s="495"/>
      <c r="AB167" s="495"/>
      <c r="AC167" s="495"/>
      <c r="AD167" s="495"/>
      <c r="AE167" s="495"/>
      <c r="AF167" s="495"/>
      <c r="AG167" s="495"/>
      <c r="AH167" s="495"/>
      <c r="AI167" s="495"/>
      <c r="AJ167" s="495"/>
      <c r="AK167" s="495"/>
      <c r="AL167" s="495"/>
      <c r="AM167" s="495"/>
      <c r="AN167" s="495"/>
      <c r="AO167" s="495"/>
    </row>
    <row r="168" spans="1:41" ht="12">
      <c r="A168" s="495"/>
      <c r="B168" s="495"/>
      <c r="C168" s="495"/>
      <c r="D168" s="495"/>
      <c r="E168" s="495"/>
      <c r="F168" s="495"/>
      <c r="G168" s="495"/>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row>
    <row r="169" spans="1:41" ht="12">
      <c r="A169" s="495"/>
      <c r="B169" s="495"/>
      <c r="C169" s="495"/>
      <c r="D169" s="495"/>
      <c r="E169" s="495"/>
      <c r="F169" s="495"/>
      <c r="G169" s="495"/>
      <c r="H169" s="495"/>
      <c r="I169" s="495"/>
      <c r="J169" s="495"/>
      <c r="K169" s="495"/>
      <c r="L169" s="495"/>
      <c r="M169" s="495"/>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5"/>
      <c r="AK169" s="495"/>
      <c r="AL169" s="495"/>
      <c r="AM169" s="495"/>
      <c r="AN169" s="495"/>
      <c r="AO169" s="495"/>
    </row>
    <row r="170" spans="1:41" ht="12">
      <c r="A170" s="495"/>
      <c r="B170" s="495"/>
      <c r="C170" s="495"/>
      <c r="D170" s="495"/>
      <c r="E170" s="495"/>
      <c r="F170" s="495"/>
      <c r="G170" s="495"/>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5"/>
      <c r="AM170" s="495"/>
      <c r="AN170" s="495"/>
      <c r="AO170" s="495"/>
    </row>
    <row r="171" spans="1:41" ht="12">
      <c r="A171" s="495"/>
      <c r="B171" s="495"/>
      <c r="C171" s="495"/>
      <c r="D171" s="495"/>
      <c r="E171" s="495"/>
      <c r="F171" s="495"/>
      <c r="G171" s="495"/>
      <c r="H171" s="495"/>
      <c r="I171" s="495"/>
      <c r="J171" s="495"/>
      <c r="K171" s="495"/>
      <c r="L171" s="495"/>
      <c r="M171" s="495"/>
      <c r="N171" s="495"/>
      <c r="O171" s="495"/>
      <c r="P171" s="495"/>
      <c r="Q171" s="495"/>
      <c r="R171" s="495"/>
      <c r="S171" s="495"/>
      <c r="T171" s="495"/>
      <c r="U171" s="495"/>
      <c r="V171" s="495"/>
      <c r="W171" s="495"/>
      <c r="X171" s="495"/>
      <c r="Y171" s="495"/>
      <c r="Z171" s="495"/>
      <c r="AA171" s="495"/>
      <c r="AB171" s="495"/>
      <c r="AC171" s="495"/>
      <c r="AD171" s="495"/>
      <c r="AE171" s="495"/>
      <c r="AF171" s="495"/>
      <c r="AG171" s="495"/>
      <c r="AH171" s="495"/>
      <c r="AI171" s="495"/>
      <c r="AJ171" s="495"/>
      <c r="AK171" s="495"/>
      <c r="AL171" s="495"/>
      <c r="AM171" s="495"/>
      <c r="AN171" s="495"/>
      <c r="AO171" s="495"/>
    </row>
    <row r="172" spans="1:41" ht="12">
      <c r="A172" s="495"/>
      <c r="B172" s="495"/>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5"/>
      <c r="AL172" s="495"/>
      <c r="AM172" s="495"/>
      <c r="AN172" s="495"/>
      <c r="AO172" s="495"/>
    </row>
    <row r="173" spans="1:41" ht="12">
      <c r="A173" s="495"/>
      <c r="B173" s="495"/>
      <c r="C173" s="495"/>
      <c r="D173" s="495"/>
      <c r="E173" s="495"/>
      <c r="F173" s="495"/>
      <c r="G173" s="495"/>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row>
    <row r="174" spans="1:41" ht="12">
      <c r="A174" s="495"/>
      <c r="B174" s="495"/>
      <c r="C174" s="495"/>
      <c r="D174" s="495"/>
      <c r="E174" s="495"/>
      <c r="F174" s="495"/>
      <c r="G174" s="495"/>
      <c r="H174" s="495"/>
      <c r="I174" s="495"/>
      <c r="J174" s="495"/>
      <c r="K174" s="495"/>
      <c r="L174" s="495"/>
      <c r="M174" s="495"/>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5"/>
      <c r="AL174" s="495"/>
      <c r="AM174" s="495"/>
      <c r="AN174" s="495"/>
      <c r="AO174" s="495"/>
    </row>
    <row r="175" spans="1:41" ht="12">
      <c r="A175" s="495"/>
      <c r="B175" s="495"/>
      <c r="C175" s="495"/>
      <c r="D175" s="495"/>
      <c r="E175" s="495"/>
      <c r="F175" s="495"/>
      <c r="G175" s="495"/>
      <c r="H175" s="495"/>
      <c r="I175" s="495"/>
      <c r="J175" s="495"/>
      <c r="K175" s="495"/>
      <c r="L175" s="495"/>
      <c r="M175" s="495"/>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5"/>
      <c r="AL175" s="495"/>
      <c r="AM175" s="495"/>
      <c r="AN175" s="495"/>
      <c r="AO175" s="495"/>
    </row>
    <row r="176" spans="1:41" ht="12">
      <c r="A176" s="495"/>
      <c r="B176" s="495"/>
      <c r="C176" s="495"/>
      <c r="D176" s="495"/>
      <c r="E176" s="495"/>
      <c r="F176" s="495"/>
      <c r="G176" s="495"/>
      <c r="H176" s="495"/>
      <c r="I176" s="495"/>
      <c r="J176" s="495"/>
      <c r="K176" s="495"/>
      <c r="L176" s="495"/>
      <c r="M176" s="495"/>
      <c r="N176" s="495"/>
      <c r="O176" s="495"/>
      <c r="P176" s="495"/>
      <c r="Q176" s="495"/>
      <c r="R176" s="495"/>
      <c r="S176" s="495"/>
      <c r="T176" s="495"/>
      <c r="U176" s="495"/>
      <c r="V176" s="495"/>
      <c r="W176" s="495"/>
      <c r="X176" s="495"/>
      <c r="Y176" s="495"/>
      <c r="Z176" s="495"/>
      <c r="AA176" s="495"/>
      <c r="AB176" s="495"/>
      <c r="AC176" s="495"/>
      <c r="AD176" s="495"/>
      <c r="AE176" s="495"/>
      <c r="AF176" s="495"/>
      <c r="AG176" s="495"/>
      <c r="AH176" s="495"/>
      <c r="AI176" s="495"/>
      <c r="AJ176" s="495"/>
      <c r="AK176" s="495"/>
      <c r="AL176" s="495"/>
      <c r="AM176" s="495"/>
      <c r="AN176" s="495"/>
      <c r="AO176" s="495"/>
    </row>
    <row r="177" spans="1:41" ht="12">
      <c r="A177" s="495"/>
      <c r="B177" s="495"/>
      <c r="C177" s="495"/>
      <c r="D177" s="495"/>
      <c r="E177" s="495"/>
      <c r="F177" s="495"/>
      <c r="G177" s="495"/>
      <c r="H177" s="495"/>
      <c r="I177" s="495"/>
      <c r="J177" s="495"/>
      <c r="K177" s="495"/>
      <c r="L177" s="495"/>
      <c r="M177" s="495"/>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5"/>
      <c r="AL177" s="495"/>
      <c r="AM177" s="495"/>
      <c r="AN177" s="495"/>
      <c r="AO177" s="495"/>
    </row>
    <row r="178" spans="1:41" ht="12">
      <c r="A178" s="495"/>
      <c r="B178" s="495"/>
      <c r="C178" s="495"/>
      <c r="D178" s="495"/>
      <c r="E178" s="495"/>
      <c r="F178" s="495"/>
      <c r="G178" s="495"/>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row>
    <row r="179" spans="1:41" ht="12">
      <c r="A179" s="495"/>
      <c r="B179" s="495"/>
      <c r="C179" s="495"/>
      <c r="D179" s="495"/>
      <c r="E179" s="495"/>
      <c r="F179" s="495"/>
      <c r="G179" s="495"/>
      <c r="H179" s="495"/>
      <c r="I179" s="495"/>
      <c r="J179" s="495"/>
      <c r="K179" s="495"/>
      <c r="L179" s="495"/>
      <c r="M179" s="495"/>
      <c r="N179" s="495"/>
      <c r="O179" s="495"/>
      <c r="P179" s="495"/>
      <c r="Q179" s="495"/>
      <c r="R179" s="495"/>
      <c r="S179" s="495"/>
      <c r="T179" s="495"/>
      <c r="U179" s="495"/>
      <c r="V179" s="495"/>
      <c r="W179" s="495"/>
      <c r="X179" s="495"/>
      <c r="Y179" s="495"/>
      <c r="Z179" s="495"/>
      <c r="AA179" s="495"/>
      <c r="AB179" s="495"/>
      <c r="AC179" s="495"/>
      <c r="AD179" s="495"/>
      <c r="AE179" s="495"/>
      <c r="AF179" s="495"/>
      <c r="AG179" s="495"/>
      <c r="AH179" s="495"/>
      <c r="AI179" s="495"/>
      <c r="AJ179" s="495"/>
      <c r="AK179" s="495"/>
      <c r="AL179" s="495"/>
      <c r="AM179" s="495"/>
      <c r="AN179" s="495"/>
      <c r="AO179" s="495"/>
    </row>
    <row r="180" spans="1:41" ht="12">
      <c r="A180" s="495"/>
      <c r="B180" s="495"/>
      <c r="C180" s="495"/>
      <c r="D180" s="495"/>
      <c r="E180" s="495"/>
      <c r="F180" s="495"/>
      <c r="G180" s="495"/>
      <c r="H180" s="495"/>
      <c r="I180" s="495"/>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5"/>
      <c r="AJ180" s="495"/>
      <c r="AK180" s="495"/>
      <c r="AL180" s="495"/>
      <c r="AM180" s="495"/>
      <c r="AN180" s="495"/>
      <c r="AO180" s="495"/>
    </row>
    <row r="181" spans="1:41" ht="12">
      <c r="A181" s="495"/>
      <c r="B181" s="495"/>
      <c r="C181" s="495"/>
      <c r="D181" s="495"/>
      <c r="E181" s="495"/>
      <c r="F181" s="495"/>
      <c r="G181" s="495"/>
      <c r="H181" s="495"/>
      <c r="I181" s="495"/>
      <c r="J181" s="495"/>
      <c r="K181" s="495"/>
      <c r="L181" s="495"/>
      <c r="M181" s="495"/>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5"/>
      <c r="AL181" s="495"/>
      <c r="AM181" s="495"/>
      <c r="AN181" s="495"/>
      <c r="AO181" s="495"/>
    </row>
    <row r="182" spans="1:41" ht="12">
      <c r="A182" s="495"/>
      <c r="B182" s="495"/>
      <c r="C182" s="495"/>
      <c r="D182" s="495"/>
      <c r="E182" s="495"/>
      <c r="F182" s="495"/>
      <c r="G182" s="495"/>
      <c r="H182" s="495"/>
      <c r="I182" s="495"/>
      <c r="J182" s="495"/>
      <c r="K182" s="495"/>
      <c r="L182" s="495"/>
      <c r="M182" s="495"/>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5"/>
      <c r="AL182" s="495"/>
      <c r="AM182" s="495"/>
      <c r="AN182" s="495"/>
      <c r="AO182" s="495"/>
    </row>
    <row r="183" spans="1:41" ht="12">
      <c r="A183" s="495"/>
      <c r="B183" s="495"/>
      <c r="C183" s="495"/>
      <c r="D183" s="495"/>
      <c r="E183" s="495"/>
      <c r="F183" s="495"/>
      <c r="G183" s="495"/>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row>
    <row r="184" spans="1:41" ht="12">
      <c r="A184" s="495"/>
      <c r="B184" s="495"/>
      <c r="C184" s="495"/>
      <c r="D184" s="495"/>
      <c r="E184" s="495"/>
      <c r="F184" s="495"/>
      <c r="G184" s="495"/>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row>
    <row r="185" spans="1:41" ht="12">
      <c r="A185" s="495"/>
      <c r="B185" s="495"/>
      <c r="C185" s="495"/>
      <c r="D185" s="495"/>
      <c r="E185" s="495"/>
      <c r="F185" s="495"/>
      <c r="G185" s="495"/>
      <c r="H185" s="495"/>
      <c r="I185" s="495"/>
      <c r="J185" s="495"/>
      <c r="K185" s="495"/>
      <c r="L185" s="495"/>
      <c r="M185" s="495"/>
      <c r="N185" s="495"/>
      <c r="O185" s="495"/>
      <c r="P185" s="495"/>
      <c r="Q185" s="495"/>
      <c r="R185" s="495"/>
      <c r="S185" s="495"/>
      <c r="T185" s="495"/>
      <c r="U185" s="495"/>
      <c r="V185" s="495"/>
      <c r="W185" s="495"/>
      <c r="X185" s="495"/>
      <c r="Y185" s="495"/>
      <c r="Z185" s="495"/>
      <c r="AA185" s="495"/>
      <c r="AB185" s="495"/>
      <c r="AC185" s="495"/>
      <c r="AD185" s="495"/>
      <c r="AE185" s="495"/>
      <c r="AF185" s="495"/>
      <c r="AG185" s="495"/>
      <c r="AH185" s="495"/>
      <c r="AI185" s="495"/>
      <c r="AJ185" s="495"/>
      <c r="AK185" s="495"/>
      <c r="AL185" s="495"/>
      <c r="AM185" s="495"/>
      <c r="AN185" s="495"/>
      <c r="AO185" s="495"/>
    </row>
    <row r="186" spans="1:41" ht="12">
      <c r="A186" s="495"/>
      <c r="B186" s="495"/>
      <c r="C186" s="495"/>
      <c r="D186" s="495"/>
      <c r="E186" s="495"/>
      <c r="F186" s="495"/>
      <c r="G186" s="495"/>
      <c r="H186" s="495"/>
      <c r="I186" s="495"/>
      <c r="J186" s="495"/>
      <c r="K186" s="495"/>
      <c r="L186" s="495"/>
      <c r="M186" s="495"/>
      <c r="N186" s="495"/>
      <c r="O186" s="495"/>
      <c r="P186" s="495"/>
      <c r="Q186" s="495"/>
      <c r="R186" s="495"/>
      <c r="S186" s="495"/>
      <c r="T186" s="495"/>
      <c r="U186" s="495"/>
      <c r="V186" s="495"/>
      <c r="W186" s="495"/>
      <c r="X186" s="495"/>
      <c r="Y186" s="495"/>
      <c r="Z186" s="495"/>
      <c r="AA186" s="495"/>
      <c r="AB186" s="495"/>
      <c r="AC186" s="495"/>
      <c r="AD186" s="495"/>
      <c r="AE186" s="495"/>
      <c r="AF186" s="495"/>
      <c r="AG186" s="495"/>
      <c r="AH186" s="495"/>
      <c r="AI186" s="495"/>
      <c r="AJ186" s="495"/>
      <c r="AK186" s="495"/>
      <c r="AL186" s="495"/>
      <c r="AM186" s="495"/>
      <c r="AN186" s="495"/>
      <c r="AO186" s="495"/>
    </row>
    <row r="187" spans="1:41" ht="12">
      <c r="A187" s="495"/>
      <c r="B187" s="495"/>
      <c r="C187" s="495"/>
      <c r="D187" s="495"/>
      <c r="E187" s="495"/>
      <c r="F187" s="495"/>
      <c r="G187" s="495"/>
      <c r="H187" s="495"/>
      <c r="I187" s="495"/>
      <c r="J187" s="495"/>
      <c r="K187" s="495"/>
      <c r="L187" s="495"/>
      <c r="M187" s="495"/>
      <c r="N187" s="495"/>
      <c r="O187" s="495"/>
      <c r="P187" s="495"/>
      <c r="Q187" s="495"/>
      <c r="R187" s="495"/>
      <c r="S187" s="495"/>
      <c r="T187" s="495"/>
      <c r="U187" s="495"/>
      <c r="V187" s="495"/>
      <c r="W187" s="495"/>
      <c r="X187" s="495"/>
      <c r="Y187" s="495"/>
      <c r="Z187" s="495"/>
      <c r="AA187" s="495"/>
      <c r="AB187" s="495"/>
      <c r="AC187" s="495"/>
      <c r="AD187" s="495"/>
      <c r="AE187" s="495"/>
      <c r="AF187" s="495"/>
      <c r="AG187" s="495"/>
      <c r="AH187" s="495"/>
      <c r="AI187" s="495"/>
      <c r="AJ187" s="495"/>
      <c r="AK187" s="495"/>
      <c r="AL187" s="495"/>
      <c r="AM187" s="495"/>
      <c r="AN187" s="495"/>
      <c r="AO187" s="495"/>
    </row>
    <row r="188" spans="1:41" ht="12">
      <c r="A188" s="495"/>
      <c r="B188" s="495"/>
      <c r="C188" s="495"/>
      <c r="D188" s="495"/>
      <c r="E188" s="495"/>
      <c r="F188" s="495"/>
      <c r="G188" s="495"/>
      <c r="H188" s="495"/>
      <c r="I188" s="495"/>
      <c r="J188" s="495"/>
      <c r="K188" s="495"/>
      <c r="L188" s="495"/>
      <c r="M188" s="495"/>
      <c r="N188" s="495"/>
      <c r="O188" s="495"/>
      <c r="P188" s="495"/>
      <c r="Q188" s="495"/>
      <c r="R188" s="495"/>
      <c r="S188" s="495"/>
      <c r="T188" s="495"/>
      <c r="U188" s="495"/>
      <c r="V188" s="495"/>
      <c r="W188" s="495"/>
      <c r="X188" s="495"/>
      <c r="Y188" s="495"/>
      <c r="Z188" s="495"/>
      <c r="AA188" s="495"/>
      <c r="AB188" s="495"/>
      <c r="AC188" s="495"/>
      <c r="AD188" s="495"/>
      <c r="AE188" s="495"/>
      <c r="AF188" s="495"/>
      <c r="AG188" s="495"/>
      <c r="AH188" s="495"/>
      <c r="AI188" s="495"/>
      <c r="AJ188" s="495"/>
      <c r="AK188" s="495"/>
      <c r="AL188" s="495"/>
      <c r="AM188" s="495"/>
      <c r="AN188" s="495"/>
      <c r="AO188" s="495"/>
    </row>
    <row r="189" spans="1:41" ht="12">
      <c r="A189" s="495"/>
      <c r="B189" s="495"/>
      <c r="C189" s="495"/>
      <c r="D189" s="495"/>
      <c r="E189" s="495"/>
      <c r="F189" s="495"/>
      <c r="G189" s="495"/>
      <c r="H189" s="495"/>
      <c r="I189" s="495"/>
      <c r="J189" s="495"/>
      <c r="K189" s="495"/>
      <c r="L189" s="495"/>
      <c r="M189" s="495"/>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5"/>
      <c r="AL189" s="495"/>
      <c r="AM189" s="495"/>
      <c r="AN189" s="495"/>
      <c r="AO189" s="495"/>
    </row>
    <row r="190" spans="1:41" ht="12">
      <c r="A190" s="495"/>
      <c r="B190" s="495"/>
      <c r="C190" s="495"/>
      <c r="D190" s="495"/>
      <c r="E190" s="495"/>
      <c r="F190" s="495"/>
      <c r="G190" s="495"/>
      <c r="H190" s="495"/>
      <c r="I190" s="495"/>
      <c r="J190" s="495"/>
      <c r="K190" s="495"/>
      <c r="L190" s="495"/>
      <c r="M190" s="495"/>
      <c r="N190" s="495"/>
      <c r="O190" s="495"/>
      <c r="P190" s="495"/>
      <c r="Q190" s="495"/>
      <c r="R190" s="495"/>
      <c r="S190" s="495"/>
      <c r="T190" s="495"/>
      <c r="U190" s="495"/>
      <c r="V190" s="495"/>
      <c r="W190" s="495"/>
      <c r="X190" s="495"/>
      <c r="Y190" s="495"/>
      <c r="Z190" s="495"/>
      <c r="AA190" s="495"/>
      <c r="AB190" s="495"/>
      <c r="AC190" s="495"/>
      <c r="AD190" s="495"/>
      <c r="AE190" s="495"/>
      <c r="AF190" s="495"/>
      <c r="AG190" s="495"/>
      <c r="AH190" s="495"/>
      <c r="AI190" s="495"/>
      <c r="AJ190" s="495"/>
      <c r="AK190" s="495"/>
      <c r="AL190" s="495"/>
      <c r="AM190" s="495"/>
      <c r="AN190" s="495"/>
      <c r="AO190" s="495"/>
    </row>
    <row r="191" spans="1:41" ht="12">
      <c r="A191" s="495"/>
      <c r="B191" s="495"/>
      <c r="C191" s="495"/>
      <c r="D191" s="495"/>
      <c r="E191" s="495"/>
      <c r="F191" s="495"/>
      <c r="G191" s="495"/>
      <c r="H191" s="495"/>
      <c r="I191" s="495"/>
      <c r="J191" s="495"/>
      <c r="K191" s="495"/>
      <c r="L191" s="495"/>
      <c r="M191" s="495"/>
      <c r="N191" s="495"/>
      <c r="O191" s="495"/>
      <c r="P191" s="495"/>
      <c r="Q191" s="495"/>
      <c r="R191" s="495"/>
      <c r="S191" s="495"/>
      <c r="T191" s="495"/>
      <c r="U191" s="495"/>
      <c r="V191" s="495"/>
      <c r="W191" s="495"/>
      <c r="X191" s="495"/>
      <c r="Y191" s="495"/>
      <c r="Z191" s="495"/>
      <c r="AA191" s="495"/>
      <c r="AB191" s="495"/>
      <c r="AC191" s="495"/>
      <c r="AD191" s="495"/>
      <c r="AE191" s="495"/>
      <c r="AF191" s="495"/>
      <c r="AG191" s="495"/>
      <c r="AH191" s="495"/>
      <c r="AI191" s="495"/>
      <c r="AJ191" s="495"/>
      <c r="AK191" s="495"/>
      <c r="AL191" s="495"/>
      <c r="AM191" s="495"/>
      <c r="AN191" s="495"/>
      <c r="AO191" s="495"/>
    </row>
    <row r="192" spans="1:41" ht="12">
      <c r="A192" s="495"/>
      <c r="B192" s="495"/>
      <c r="C192" s="495"/>
      <c r="D192" s="495"/>
      <c r="E192" s="495"/>
      <c r="F192" s="495"/>
      <c r="G192" s="495"/>
      <c r="H192" s="495"/>
      <c r="I192" s="495"/>
      <c r="J192" s="495"/>
      <c r="K192" s="495"/>
      <c r="L192" s="495"/>
      <c r="M192" s="495"/>
      <c r="N192" s="495"/>
      <c r="O192" s="495"/>
      <c r="P192" s="495"/>
      <c r="Q192" s="495"/>
      <c r="R192" s="495"/>
      <c r="S192" s="495"/>
      <c r="T192" s="495"/>
      <c r="U192" s="495"/>
      <c r="V192" s="495"/>
      <c r="W192" s="495"/>
      <c r="X192" s="495"/>
      <c r="Y192" s="495"/>
      <c r="Z192" s="495"/>
      <c r="AA192" s="495"/>
      <c r="AB192" s="495"/>
      <c r="AC192" s="495"/>
      <c r="AD192" s="495"/>
      <c r="AE192" s="495"/>
      <c r="AF192" s="495"/>
      <c r="AG192" s="495"/>
      <c r="AH192" s="495"/>
      <c r="AI192" s="495"/>
      <c r="AJ192" s="495"/>
      <c r="AK192" s="495"/>
      <c r="AL192" s="495"/>
      <c r="AM192" s="495"/>
      <c r="AN192" s="495"/>
      <c r="AO192" s="495"/>
    </row>
    <row r="193" spans="1:41" ht="12">
      <c r="A193" s="495"/>
      <c r="B193" s="495"/>
      <c r="C193" s="495"/>
      <c r="D193" s="495"/>
      <c r="E193" s="495"/>
      <c r="F193" s="495"/>
      <c r="G193" s="495"/>
      <c r="H193" s="495"/>
      <c r="I193" s="495"/>
      <c r="J193" s="495"/>
      <c r="K193" s="495"/>
      <c r="L193" s="495"/>
      <c r="M193" s="495"/>
      <c r="N193" s="495"/>
      <c r="O193" s="495"/>
      <c r="P193" s="495"/>
      <c r="Q193" s="495"/>
      <c r="R193" s="495"/>
      <c r="S193" s="495"/>
      <c r="T193" s="495"/>
      <c r="U193" s="495"/>
      <c r="V193" s="495"/>
      <c r="W193" s="495"/>
      <c r="X193" s="495"/>
      <c r="Y193" s="495"/>
      <c r="Z193" s="495"/>
      <c r="AA193" s="495"/>
      <c r="AB193" s="495"/>
      <c r="AC193" s="495"/>
      <c r="AD193" s="495"/>
      <c r="AE193" s="495"/>
      <c r="AF193" s="495"/>
      <c r="AG193" s="495"/>
      <c r="AH193" s="495"/>
      <c r="AI193" s="495"/>
      <c r="AJ193" s="495"/>
      <c r="AK193" s="495"/>
      <c r="AL193" s="495"/>
      <c r="AM193" s="495"/>
      <c r="AN193" s="495"/>
      <c r="AO193" s="495"/>
    </row>
    <row r="194" spans="1:41" ht="12">
      <c r="A194" s="495"/>
      <c r="B194" s="495"/>
      <c r="C194" s="495"/>
      <c r="D194" s="495"/>
      <c r="E194" s="495"/>
      <c r="F194" s="495"/>
      <c r="G194" s="495"/>
      <c r="H194" s="495"/>
      <c r="I194" s="495"/>
      <c r="J194" s="495"/>
      <c r="K194" s="495"/>
      <c r="L194" s="495"/>
      <c r="M194" s="495"/>
      <c r="N194" s="495"/>
      <c r="O194" s="495"/>
      <c r="P194" s="495"/>
      <c r="Q194" s="495"/>
      <c r="R194" s="495"/>
      <c r="S194" s="495"/>
      <c r="T194" s="495"/>
      <c r="U194" s="495"/>
      <c r="V194" s="495"/>
      <c r="W194" s="495"/>
      <c r="X194" s="495"/>
      <c r="Y194" s="495"/>
      <c r="Z194" s="495"/>
      <c r="AA194" s="495"/>
      <c r="AB194" s="495"/>
      <c r="AC194" s="495"/>
      <c r="AD194" s="495"/>
      <c r="AE194" s="495"/>
      <c r="AF194" s="495"/>
      <c r="AG194" s="495"/>
      <c r="AH194" s="495"/>
      <c r="AI194" s="495"/>
      <c r="AJ194" s="495"/>
      <c r="AK194" s="495"/>
      <c r="AL194" s="495"/>
      <c r="AM194" s="495"/>
      <c r="AN194" s="495"/>
      <c r="AO194" s="495"/>
    </row>
    <row r="195" spans="1:41" ht="12">
      <c r="A195" s="495"/>
      <c r="B195" s="495"/>
      <c r="C195" s="495"/>
      <c r="D195" s="495"/>
      <c r="E195" s="495"/>
      <c r="F195" s="495"/>
      <c r="G195" s="495"/>
      <c r="H195" s="495"/>
      <c r="I195" s="495"/>
      <c r="J195" s="495"/>
      <c r="K195" s="495"/>
      <c r="L195" s="495"/>
      <c r="M195" s="495"/>
      <c r="N195" s="495"/>
      <c r="O195" s="495"/>
      <c r="P195" s="495"/>
      <c r="Q195" s="495"/>
      <c r="R195" s="495"/>
      <c r="S195" s="495"/>
      <c r="T195" s="495"/>
      <c r="U195" s="495"/>
      <c r="V195" s="495"/>
      <c r="W195" s="495"/>
      <c r="X195" s="495"/>
      <c r="Y195" s="495"/>
      <c r="Z195" s="495"/>
      <c r="AA195" s="495"/>
      <c r="AB195" s="495"/>
      <c r="AC195" s="495"/>
      <c r="AD195" s="495"/>
      <c r="AE195" s="495"/>
      <c r="AF195" s="495"/>
      <c r="AG195" s="495"/>
      <c r="AH195" s="495"/>
      <c r="AI195" s="495"/>
      <c r="AJ195" s="495"/>
      <c r="AK195" s="495"/>
      <c r="AL195" s="495"/>
      <c r="AM195" s="495"/>
      <c r="AN195" s="495"/>
      <c r="AO195" s="495"/>
    </row>
    <row r="196" spans="1:41" ht="12">
      <c r="A196" s="495"/>
      <c r="B196" s="495"/>
      <c r="C196" s="495"/>
      <c r="D196" s="495"/>
      <c r="E196" s="495"/>
      <c r="F196" s="495"/>
      <c r="G196" s="495"/>
      <c r="H196" s="495"/>
      <c r="I196" s="495"/>
      <c r="J196" s="495"/>
      <c r="K196" s="495"/>
      <c r="L196" s="495"/>
      <c r="M196" s="495"/>
      <c r="N196" s="495"/>
      <c r="O196" s="495"/>
      <c r="P196" s="495"/>
      <c r="Q196" s="495"/>
      <c r="R196" s="495"/>
      <c r="S196" s="495"/>
      <c r="T196" s="495"/>
      <c r="U196" s="495"/>
      <c r="V196" s="495"/>
      <c r="W196" s="495"/>
      <c r="X196" s="495"/>
      <c r="Y196" s="495"/>
      <c r="Z196" s="495"/>
      <c r="AA196" s="495"/>
      <c r="AB196" s="495"/>
      <c r="AC196" s="495"/>
      <c r="AD196" s="495"/>
      <c r="AE196" s="495"/>
      <c r="AF196" s="495"/>
      <c r="AG196" s="495"/>
      <c r="AH196" s="495"/>
      <c r="AI196" s="495"/>
      <c r="AJ196" s="495"/>
      <c r="AK196" s="495"/>
      <c r="AL196" s="495"/>
      <c r="AM196" s="495"/>
      <c r="AN196" s="495"/>
      <c r="AO196" s="495"/>
    </row>
    <row r="197" spans="1:41" ht="12">
      <c r="A197" s="495"/>
      <c r="B197" s="495"/>
      <c r="C197" s="495"/>
      <c r="D197" s="495"/>
      <c r="E197" s="495"/>
      <c r="F197" s="495"/>
      <c r="G197" s="495"/>
      <c r="H197" s="495"/>
      <c r="I197" s="495"/>
      <c r="J197" s="495"/>
      <c r="K197" s="495"/>
      <c r="L197" s="495"/>
      <c r="M197" s="495"/>
      <c r="N197" s="495"/>
      <c r="O197" s="495"/>
      <c r="P197" s="495"/>
      <c r="Q197" s="495"/>
      <c r="R197" s="495"/>
      <c r="S197" s="495"/>
      <c r="T197" s="495"/>
      <c r="U197" s="495"/>
      <c r="V197" s="495"/>
      <c r="W197" s="495"/>
      <c r="X197" s="495"/>
      <c r="Y197" s="495"/>
      <c r="Z197" s="495"/>
      <c r="AA197" s="495"/>
      <c r="AB197" s="495"/>
      <c r="AC197" s="495"/>
      <c r="AD197" s="495"/>
      <c r="AE197" s="495"/>
      <c r="AF197" s="495"/>
      <c r="AG197" s="495"/>
      <c r="AH197" s="495"/>
      <c r="AI197" s="495"/>
      <c r="AJ197" s="495"/>
      <c r="AK197" s="495"/>
      <c r="AL197" s="495"/>
      <c r="AM197" s="495"/>
      <c r="AN197" s="495"/>
      <c r="AO197" s="495"/>
    </row>
    <row r="198" spans="1:41" ht="12">
      <c r="A198" s="495"/>
      <c r="B198" s="495"/>
      <c r="C198" s="495"/>
      <c r="D198" s="495"/>
      <c r="E198" s="495"/>
      <c r="F198" s="495"/>
      <c r="G198" s="495"/>
      <c r="H198" s="495"/>
      <c r="I198" s="495"/>
      <c r="J198" s="495"/>
      <c r="K198" s="495"/>
      <c r="L198" s="495"/>
      <c r="M198" s="495"/>
      <c r="N198" s="495"/>
      <c r="O198" s="495"/>
      <c r="P198" s="495"/>
      <c r="Q198" s="495"/>
      <c r="R198" s="495"/>
      <c r="S198" s="495"/>
      <c r="T198" s="495"/>
      <c r="U198" s="495"/>
      <c r="V198" s="495"/>
      <c r="W198" s="495"/>
      <c r="X198" s="495"/>
      <c r="Y198" s="495"/>
      <c r="Z198" s="495"/>
      <c r="AA198" s="495"/>
      <c r="AB198" s="495"/>
      <c r="AC198" s="495"/>
      <c r="AD198" s="495"/>
      <c r="AE198" s="495"/>
      <c r="AF198" s="495"/>
      <c r="AG198" s="495"/>
      <c r="AH198" s="495"/>
      <c r="AI198" s="495"/>
      <c r="AJ198" s="495"/>
      <c r="AK198" s="495"/>
      <c r="AL198" s="495"/>
      <c r="AM198" s="495"/>
      <c r="AN198" s="495"/>
      <c r="AO198" s="495"/>
    </row>
    <row r="199" spans="1:41" ht="12">
      <c r="A199" s="495"/>
      <c r="B199" s="495"/>
      <c r="C199" s="495"/>
      <c r="D199" s="495"/>
      <c r="E199" s="495"/>
      <c r="F199" s="495"/>
      <c r="G199" s="495"/>
      <c r="H199" s="495"/>
      <c r="I199" s="495"/>
      <c r="J199" s="495"/>
      <c r="K199" s="495"/>
      <c r="L199" s="495"/>
      <c r="M199" s="495"/>
      <c r="N199" s="495"/>
      <c r="O199" s="495"/>
      <c r="P199" s="495"/>
      <c r="Q199" s="495"/>
      <c r="R199" s="495"/>
      <c r="S199" s="495"/>
      <c r="T199" s="495"/>
      <c r="U199" s="495"/>
      <c r="V199" s="495"/>
      <c r="W199" s="495"/>
      <c r="X199" s="495"/>
      <c r="Y199" s="495"/>
      <c r="Z199" s="495"/>
      <c r="AA199" s="495"/>
      <c r="AB199" s="495"/>
      <c r="AC199" s="495"/>
      <c r="AD199" s="495"/>
      <c r="AE199" s="495"/>
      <c r="AF199" s="495"/>
      <c r="AG199" s="495"/>
      <c r="AH199" s="495"/>
      <c r="AI199" s="495"/>
      <c r="AJ199" s="495"/>
      <c r="AK199" s="495"/>
      <c r="AL199" s="495"/>
      <c r="AM199" s="495"/>
      <c r="AN199" s="495"/>
      <c r="AO199" s="495"/>
    </row>
    <row r="200" spans="1:41" ht="12">
      <c r="A200" s="495"/>
      <c r="B200" s="495"/>
      <c r="C200" s="495"/>
      <c r="D200" s="495"/>
      <c r="E200" s="495"/>
      <c r="F200" s="495"/>
      <c r="G200" s="495"/>
      <c r="H200" s="495"/>
      <c r="I200" s="495"/>
      <c r="J200" s="495"/>
      <c r="K200" s="495"/>
      <c r="L200" s="495"/>
      <c r="M200" s="495"/>
      <c r="N200" s="495"/>
      <c r="O200" s="495"/>
      <c r="P200" s="495"/>
      <c r="Q200" s="495"/>
      <c r="R200" s="495"/>
      <c r="S200" s="495"/>
      <c r="T200" s="495"/>
      <c r="U200" s="495"/>
      <c r="V200" s="495"/>
      <c r="W200" s="495"/>
      <c r="X200" s="495"/>
      <c r="Y200" s="495"/>
      <c r="Z200" s="495"/>
      <c r="AA200" s="495"/>
      <c r="AB200" s="495"/>
      <c r="AC200" s="495"/>
      <c r="AD200" s="495"/>
      <c r="AE200" s="495"/>
      <c r="AF200" s="495"/>
      <c r="AG200" s="495"/>
      <c r="AH200" s="495"/>
      <c r="AI200" s="495"/>
      <c r="AJ200" s="495"/>
      <c r="AK200" s="495"/>
      <c r="AL200" s="495"/>
      <c r="AM200" s="495"/>
      <c r="AN200" s="495"/>
      <c r="AO200" s="495"/>
    </row>
    <row r="201" spans="1:41" ht="12">
      <c r="A201" s="495"/>
      <c r="B201" s="495"/>
      <c r="C201" s="495"/>
      <c r="D201" s="495"/>
      <c r="E201" s="495"/>
      <c r="F201" s="495"/>
      <c r="G201" s="495"/>
      <c r="H201" s="495"/>
      <c r="I201" s="495"/>
      <c r="J201" s="495"/>
      <c r="K201" s="495"/>
      <c r="L201" s="495"/>
      <c r="M201" s="495"/>
      <c r="N201" s="495"/>
      <c r="O201" s="495"/>
      <c r="P201" s="495"/>
      <c r="Q201" s="495"/>
      <c r="R201" s="495"/>
      <c r="S201" s="495"/>
      <c r="T201" s="495"/>
      <c r="U201" s="495"/>
      <c r="V201" s="495"/>
      <c r="W201" s="495"/>
      <c r="X201" s="495"/>
      <c r="Y201" s="495"/>
      <c r="Z201" s="495"/>
      <c r="AA201" s="495"/>
      <c r="AB201" s="495"/>
      <c r="AC201" s="495"/>
      <c r="AD201" s="495"/>
      <c r="AE201" s="495"/>
      <c r="AF201" s="495"/>
      <c r="AG201" s="495"/>
      <c r="AH201" s="495"/>
      <c r="AI201" s="495"/>
      <c r="AJ201" s="495"/>
      <c r="AK201" s="495"/>
      <c r="AL201" s="495"/>
      <c r="AM201" s="495"/>
      <c r="AN201" s="495"/>
      <c r="AO201" s="495"/>
    </row>
    <row r="202" spans="1:41" ht="12">
      <c r="A202" s="495"/>
      <c r="B202" s="495"/>
      <c r="C202" s="495"/>
      <c r="D202" s="495"/>
      <c r="E202" s="495"/>
      <c r="F202" s="495"/>
      <c r="G202" s="495"/>
      <c r="H202" s="495"/>
      <c r="I202" s="495"/>
      <c r="J202" s="495"/>
      <c r="K202" s="495"/>
      <c r="L202" s="495"/>
      <c r="M202" s="495"/>
      <c r="N202" s="495"/>
      <c r="O202" s="495"/>
      <c r="P202" s="495"/>
      <c r="Q202" s="495"/>
      <c r="R202" s="495"/>
      <c r="S202" s="495"/>
      <c r="T202" s="495"/>
      <c r="U202" s="495"/>
      <c r="V202" s="495"/>
      <c r="W202" s="495"/>
      <c r="X202" s="495"/>
      <c r="Y202" s="495"/>
      <c r="Z202" s="495"/>
      <c r="AA202" s="495"/>
      <c r="AB202" s="495"/>
      <c r="AC202" s="495"/>
      <c r="AD202" s="495"/>
      <c r="AE202" s="495"/>
      <c r="AF202" s="495"/>
      <c r="AG202" s="495"/>
      <c r="AH202" s="495"/>
      <c r="AI202" s="495"/>
      <c r="AJ202" s="495"/>
      <c r="AK202" s="495"/>
      <c r="AL202" s="495"/>
      <c r="AM202" s="495"/>
      <c r="AN202" s="495"/>
      <c r="AO202" s="495"/>
    </row>
    <row r="203" spans="1:41" ht="12">
      <c r="A203" s="495"/>
      <c r="B203" s="495"/>
      <c r="C203" s="495"/>
      <c r="D203" s="495"/>
      <c r="E203" s="495"/>
      <c r="F203" s="495"/>
      <c r="G203" s="495"/>
      <c r="H203" s="495"/>
      <c r="I203" s="495"/>
      <c r="J203" s="495"/>
      <c r="K203" s="495"/>
      <c r="L203" s="495"/>
      <c r="M203" s="495"/>
      <c r="N203" s="495"/>
      <c r="O203" s="495"/>
      <c r="P203" s="495"/>
      <c r="Q203" s="495"/>
      <c r="R203" s="495"/>
      <c r="S203" s="495"/>
      <c r="T203" s="495"/>
      <c r="U203" s="495"/>
      <c r="V203" s="495"/>
      <c r="W203" s="495"/>
      <c r="X203" s="495"/>
      <c r="Y203" s="495"/>
      <c r="Z203" s="495"/>
      <c r="AA203" s="495"/>
      <c r="AB203" s="495"/>
      <c r="AC203" s="495"/>
      <c r="AD203" s="495"/>
      <c r="AE203" s="495"/>
      <c r="AF203" s="495"/>
      <c r="AG203" s="495"/>
      <c r="AH203" s="495"/>
      <c r="AI203" s="495"/>
      <c r="AJ203" s="495"/>
      <c r="AK203" s="495"/>
      <c r="AL203" s="495"/>
      <c r="AM203" s="495"/>
      <c r="AN203" s="495"/>
      <c r="AO203" s="495"/>
    </row>
    <row r="204" spans="1:41" ht="12">
      <c r="A204" s="495"/>
      <c r="B204" s="495"/>
      <c r="C204" s="495"/>
      <c r="D204" s="495"/>
      <c r="E204" s="495"/>
      <c r="F204" s="495"/>
      <c r="G204" s="495"/>
      <c r="H204" s="495"/>
      <c r="I204" s="495"/>
      <c r="J204" s="495"/>
      <c r="K204" s="495"/>
      <c r="L204" s="495"/>
      <c r="M204" s="495"/>
      <c r="N204" s="495"/>
      <c r="O204" s="495"/>
      <c r="P204" s="495"/>
      <c r="Q204" s="495"/>
      <c r="R204" s="495"/>
      <c r="S204" s="495"/>
      <c r="T204" s="495"/>
      <c r="U204" s="495"/>
      <c r="V204" s="495"/>
      <c r="W204" s="495"/>
      <c r="X204" s="495"/>
      <c r="Y204" s="495"/>
      <c r="Z204" s="495"/>
      <c r="AA204" s="495"/>
      <c r="AB204" s="495"/>
      <c r="AC204" s="495"/>
      <c r="AD204" s="495"/>
      <c r="AE204" s="495"/>
      <c r="AF204" s="495"/>
      <c r="AG204" s="495"/>
      <c r="AH204" s="495"/>
      <c r="AI204" s="495"/>
      <c r="AJ204" s="495"/>
      <c r="AK204" s="495"/>
      <c r="AL204" s="495"/>
      <c r="AM204" s="495"/>
      <c r="AN204" s="495"/>
      <c r="AO204" s="495"/>
    </row>
    <row r="205" spans="1:41" ht="12">
      <c r="A205" s="495"/>
      <c r="B205" s="495"/>
      <c r="C205" s="495"/>
      <c r="D205" s="495"/>
      <c r="E205" s="495"/>
      <c r="F205" s="495"/>
      <c r="G205" s="495"/>
      <c r="H205" s="495"/>
      <c r="I205" s="495"/>
      <c r="J205" s="495"/>
      <c r="K205" s="495"/>
      <c r="L205" s="495"/>
      <c r="M205" s="495"/>
      <c r="N205" s="495"/>
      <c r="O205" s="495"/>
      <c r="P205" s="495"/>
      <c r="Q205" s="495"/>
      <c r="R205" s="495"/>
      <c r="S205" s="495"/>
      <c r="T205" s="495"/>
      <c r="U205" s="495"/>
      <c r="V205" s="495"/>
      <c r="W205" s="495"/>
      <c r="X205" s="495"/>
      <c r="Y205" s="495"/>
      <c r="Z205" s="495"/>
      <c r="AA205" s="495"/>
      <c r="AB205" s="495"/>
      <c r="AC205" s="495"/>
      <c r="AD205" s="495"/>
      <c r="AE205" s="495"/>
      <c r="AF205" s="495"/>
      <c r="AG205" s="495"/>
      <c r="AH205" s="495"/>
      <c r="AI205" s="495"/>
      <c r="AJ205" s="495"/>
      <c r="AK205" s="495"/>
      <c r="AL205" s="495"/>
      <c r="AM205" s="495"/>
      <c r="AN205" s="495"/>
      <c r="AO205" s="495"/>
    </row>
    <row r="206" spans="1:41" ht="12">
      <c r="A206" s="495"/>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5"/>
      <c r="AK206" s="495"/>
      <c r="AL206" s="495"/>
      <c r="AM206" s="495"/>
      <c r="AN206" s="495"/>
      <c r="AO206" s="495"/>
    </row>
    <row r="207" spans="1:41" ht="12">
      <c r="A207" s="495"/>
      <c r="B207" s="495"/>
      <c r="C207" s="495"/>
      <c r="D207" s="495"/>
      <c r="E207" s="495"/>
      <c r="F207" s="495"/>
      <c r="G207" s="495"/>
      <c r="H207" s="495"/>
      <c r="I207" s="495"/>
      <c r="J207" s="495"/>
      <c r="K207" s="495"/>
      <c r="L207" s="495"/>
      <c r="M207" s="495"/>
      <c r="N207" s="495"/>
      <c r="O207" s="495"/>
      <c r="P207" s="495"/>
      <c r="Q207" s="495"/>
      <c r="R207" s="495"/>
      <c r="S207" s="495"/>
      <c r="T207" s="495"/>
      <c r="U207" s="495"/>
      <c r="V207" s="495"/>
      <c r="W207" s="495"/>
      <c r="X207" s="495"/>
      <c r="Y207" s="495"/>
      <c r="Z207" s="495"/>
      <c r="AA207" s="495"/>
      <c r="AB207" s="495"/>
      <c r="AC207" s="495"/>
      <c r="AD207" s="495"/>
      <c r="AE207" s="495"/>
      <c r="AF207" s="495"/>
      <c r="AG207" s="495"/>
      <c r="AH207" s="495"/>
      <c r="AI207" s="495"/>
      <c r="AJ207" s="495"/>
      <c r="AK207" s="495"/>
      <c r="AL207" s="495"/>
      <c r="AM207" s="495"/>
      <c r="AN207" s="495"/>
      <c r="AO207" s="495"/>
    </row>
    <row r="208" spans="1:41" ht="12">
      <c r="A208" s="495"/>
      <c r="B208" s="495"/>
      <c r="C208" s="495"/>
      <c r="D208" s="495"/>
      <c r="E208" s="495"/>
      <c r="F208" s="495"/>
      <c r="G208" s="495"/>
      <c r="H208" s="495"/>
      <c r="I208" s="495"/>
      <c r="J208" s="495"/>
      <c r="K208" s="495"/>
      <c r="L208" s="495"/>
      <c r="M208" s="495"/>
      <c r="N208" s="495"/>
      <c r="O208" s="495"/>
      <c r="P208" s="495"/>
      <c r="Q208" s="495"/>
      <c r="R208" s="495"/>
      <c r="S208" s="495"/>
      <c r="T208" s="495"/>
      <c r="U208" s="495"/>
      <c r="V208" s="495"/>
      <c r="W208" s="495"/>
      <c r="X208" s="495"/>
      <c r="Y208" s="495"/>
      <c r="Z208" s="495"/>
      <c r="AA208" s="495"/>
      <c r="AB208" s="495"/>
      <c r="AC208" s="495"/>
      <c r="AD208" s="495"/>
      <c r="AE208" s="495"/>
      <c r="AF208" s="495"/>
      <c r="AG208" s="495"/>
      <c r="AH208" s="495"/>
      <c r="AI208" s="495"/>
      <c r="AJ208" s="495"/>
      <c r="AK208" s="495"/>
      <c r="AL208" s="495"/>
      <c r="AM208" s="495"/>
      <c r="AN208" s="495"/>
      <c r="AO208" s="495"/>
    </row>
    <row r="209" spans="1:41" ht="12">
      <c r="A209" s="495"/>
      <c r="B209" s="495"/>
      <c r="C209" s="495"/>
      <c r="D209" s="495"/>
      <c r="E209" s="495"/>
      <c r="F209" s="495"/>
      <c r="G209" s="495"/>
      <c r="H209" s="495"/>
      <c r="I209" s="495"/>
      <c r="J209" s="495"/>
      <c r="K209" s="495"/>
      <c r="L209" s="495"/>
      <c r="M209" s="495"/>
      <c r="N209" s="495"/>
      <c r="O209" s="495"/>
      <c r="P209" s="495"/>
      <c r="Q209" s="495"/>
      <c r="R209" s="495"/>
      <c r="S209" s="495"/>
      <c r="T209" s="495"/>
      <c r="U209" s="495"/>
      <c r="V209" s="495"/>
      <c r="W209" s="495"/>
      <c r="X209" s="495"/>
      <c r="Y209" s="495"/>
      <c r="Z209" s="495"/>
      <c r="AA209" s="495"/>
      <c r="AB209" s="495"/>
      <c r="AC209" s="495"/>
      <c r="AD209" s="495"/>
      <c r="AE209" s="495"/>
      <c r="AF209" s="495"/>
      <c r="AG209" s="495"/>
      <c r="AH209" s="495"/>
      <c r="AI209" s="495"/>
      <c r="AJ209" s="495"/>
      <c r="AK209" s="495"/>
      <c r="AL209" s="495"/>
      <c r="AM209" s="495"/>
      <c r="AN209" s="495"/>
      <c r="AO209" s="495"/>
    </row>
    <row r="210" spans="1:41" ht="12">
      <c r="A210" s="495"/>
      <c r="B210" s="495"/>
      <c r="C210" s="495"/>
      <c r="D210" s="495"/>
      <c r="E210" s="495"/>
      <c r="F210" s="495"/>
      <c r="G210" s="495"/>
      <c r="H210" s="495"/>
      <c r="I210" s="495"/>
      <c r="J210" s="495"/>
      <c r="K210" s="495"/>
      <c r="L210" s="495"/>
      <c r="M210" s="495"/>
      <c r="N210" s="495"/>
      <c r="O210" s="495"/>
      <c r="P210" s="495"/>
      <c r="Q210" s="495"/>
      <c r="R210" s="495"/>
      <c r="S210" s="495"/>
      <c r="T210" s="495"/>
      <c r="U210" s="495"/>
      <c r="V210" s="495"/>
      <c r="W210" s="495"/>
      <c r="X210" s="495"/>
      <c r="Y210" s="495"/>
      <c r="Z210" s="495"/>
      <c r="AA210" s="495"/>
      <c r="AB210" s="495"/>
      <c r="AC210" s="495"/>
      <c r="AD210" s="495"/>
      <c r="AE210" s="495"/>
      <c r="AF210" s="495"/>
      <c r="AG210" s="495"/>
      <c r="AH210" s="495"/>
      <c r="AI210" s="495"/>
      <c r="AJ210" s="495"/>
      <c r="AK210" s="495"/>
      <c r="AL210" s="495"/>
      <c r="AM210" s="495"/>
      <c r="AN210" s="495"/>
      <c r="AO210" s="495"/>
    </row>
    <row r="211" spans="1:41" ht="12">
      <c r="A211" s="495"/>
      <c r="B211" s="495"/>
      <c r="C211" s="495"/>
      <c r="D211" s="495"/>
      <c r="E211" s="495"/>
      <c r="F211" s="495"/>
      <c r="G211" s="495"/>
      <c r="H211" s="495"/>
      <c r="I211" s="495"/>
      <c r="J211" s="495"/>
      <c r="K211" s="495"/>
      <c r="L211" s="495"/>
      <c r="M211" s="495"/>
      <c r="N211" s="495"/>
      <c r="O211" s="495"/>
      <c r="P211" s="495"/>
      <c r="Q211" s="495"/>
      <c r="R211" s="495"/>
      <c r="S211" s="495"/>
      <c r="T211" s="495"/>
      <c r="U211" s="495"/>
      <c r="V211" s="495"/>
      <c r="W211" s="495"/>
      <c r="X211" s="495"/>
      <c r="Y211" s="495"/>
      <c r="Z211" s="495"/>
      <c r="AA211" s="495"/>
      <c r="AB211" s="495"/>
      <c r="AC211" s="495"/>
      <c r="AD211" s="495"/>
      <c r="AE211" s="495"/>
      <c r="AF211" s="495"/>
      <c r="AG211" s="495"/>
      <c r="AH211" s="495"/>
      <c r="AI211" s="495"/>
      <c r="AJ211" s="495"/>
      <c r="AK211" s="495"/>
      <c r="AL211" s="495"/>
      <c r="AM211" s="495"/>
      <c r="AN211" s="495"/>
      <c r="AO211" s="495"/>
    </row>
    <row r="212" spans="1:41" ht="12">
      <c r="A212" s="495"/>
      <c r="B212" s="495"/>
      <c r="C212" s="495"/>
      <c r="D212" s="495"/>
      <c r="E212" s="495"/>
      <c r="F212" s="495"/>
      <c r="G212" s="495"/>
      <c r="H212" s="495"/>
      <c r="I212" s="495"/>
      <c r="J212" s="495"/>
      <c r="K212" s="495"/>
      <c r="L212" s="495"/>
      <c r="M212" s="495"/>
      <c r="N212" s="495"/>
      <c r="O212" s="495"/>
      <c r="P212" s="495"/>
      <c r="Q212" s="495"/>
      <c r="R212" s="495"/>
      <c r="S212" s="495"/>
      <c r="T212" s="495"/>
      <c r="U212" s="495"/>
      <c r="V212" s="495"/>
      <c r="W212" s="495"/>
      <c r="X212" s="495"/>
      <c r="Y212" s="495"/>
      <c r="Z212" s="495"/>
      <c r="AA212" s="495"/>
      <c r="AB212" s="495"/>
      <c r="AC212" s="495"/>
      <c r="AD212" s="495"/>
      <c r="AE212" s="495"/>
      <c r="AF212" s="495"/>
      <c r="AG212" s="495"/>
      <c r="AH212" s="495"/>
      <c r="AI212" s="495"/>
      <c r="AJ212" s="495"/>
      <c r="AK212" s="495"/>
      <c r="AL212" s="495"/>
      <c r="AM212" s="495"/>
      <c r="AN212" s="495"/>
      <c r="AO212" s="495"/>
    </row>
    <row r="213" spans="1:41" ht="12">
      <c r="A213" s="495"/>
      <c r="B213" s="495"/>
      <c r="C213" s="495"/>
      <c r="D213" s="495"/>
      <c r="E213" s="495"/>
      <c r="F213" s="495"/>
      <c r="G213" s="495"/>
      <c r="H213" s="495"/>
      <c r="I213" s="495"/>
      <c r="J213" s="495"/>
      <c r="K213" s="495"/>
      <c r="L213" s="495"/>
      <c r="M213" s="495"/>
      <c r="N213" s="495"/>
      <c r="O213" s="495"/>
      <c r="P213" s="495"/>
      <c r="Q213" s="495"/>
      <c r="R213" s="495"/>
      <c r="S213" s="495"/>
      <c r="T213" s="495"/>
      <c r="U213" s="495"/>
      <c r="V213" s="495"/>
      <c r="W213" s="495"/>
      <c r="X213" s="495"/>
      <c r="Y213" s="495"/>
      <c r="Z213" s="495"/>
      <c r="AA213" s="495"/>
      <c r="AB213" s="495"/>
      <c r="AC213" s="495"/>
      <c r="AD213" s="495"/>
      <c r="AE213" s="495"/>
      <c r="AF213" s="495"/>
      <c r="AG213" s="495"/>
      <c r="AH213" s="495"/>
      <c r="AI213" s="495"/>
      <c r="AJ213" s="495"/>
      <c r="AK213" s="495"/>
      <c r="AL213" s="495"/>
      <c r="AM213" s="495"/>
      <c r="AN213" s="495"/>
      <c r="AO213" s="495"/>
    </row>
    <row r="214" spans="1:41" ht="12">
      <c r="A214" s="495"/>
      <c r="B214" s="495"/>
      <c r="C214" s="495"/>
      <c r="D214" s="495"/>
      <c r="E214" s="495"/>
      <c r="F214" s="495"/>
      <c r="G214" s="495"/>
      <c r="H214" s="495"/>
      <c r="I214" s="495"/>
      <c r="J214" s="495"/>
      <c r="K214" s="495"/>
      <c r="L214" s="495"/>
      <c r="M214" s="495"/>
      <c r="N214" s="495"/>
      <c r="O214" s="495"/>
      <c r="P214" s="495"/>
      <c r="Q214" s="495"/>
      <c r="R214" s="495"/>
      <c r="S214" s="495"/>
      <c r="T214" s="495"/>
      <c r="U214" s="495"/>
      <c r="V214" s="495"/>
      <c r="W214" s="495"/>
      <c r="X214" s="495"/>
      <c r="Y214" s="495"/>
      <c r="Z214" s="495"/>
      <c r="AA214" s="495"/>
      <c r="AB214" s="495"/>
      <c r="AC214" s="495"/>
      <c r="AD214" s="495"/>
      <c r="AE214" s="495"/>
      <c r="AF214" s="495"/>
      <c r="AG214" s="495"/>
      <c r="AH214" s="495"/>
      <c r="AI214" s="495"/>
      <c r="AJ214" s="495"/>
      <c r="AK214" s="495"/>
      <c r="AL214" s="495"/>
      <c r="AM214" s="495"/>
      <c r="AN214" s="495"/>
      <c r="AO214" s="495"/>
    </row>
    <row r="215" spans="1:41" ht="12">
      <c r="A215" s="495"/>
      <c r="B215" s="495"/>
      <c r="C215" s="495"/>
      <c r="D215" s="495"/>
      <c r="E215" s="495"/>
      <c r="F215" s="495"/>
      <c r="G215" s="495"/>
      <c r="H215" s="495"/>
      <c r="I215" s="495"/>
      <c r="J215" s="495"/>
      <c r="K215" s="495"/>
      <c r="L215" s="495"/>
      <c r="M215" s="495"/>
      <c r="N215" s="495"/>
      <c r="O215" s="495"/>
      <c r="P215" s="495"/>
      <c r="Q215" s="495"/>
      <c r="R215" s="495"/>
      <c r="S215" s="495"/>
      <c r="T215" s="495"/>
      <c r="U215" s="495"/>
      <c r="V215" s="495"/>
      <c r="W215" s="495"/>
      <c r="X215" s="495"/>
      <c r="Y215" s="495"/>
      <c r="Z215" s="495"/>
      <c r="AA215" s="495"/>
      <c r="AB215" s="495"/>
      <c r="AC215" s="495"/>
      <c r="AD215" s="495"/>
      <c r="AE215" s="495"/>
      <c r="AF215" s="495"/>
      <c r="AG215" s="495"/>
      <c r="AH215" s="495"/>
      <c r="AI215" s="495"/>
      <c r="AJ215" s="495"/>
      <c r="AK215" s="495"/>
      <c r="AL215" s="495"/>
      <c r="AM215" s="495"/>
      <c r="AN215" s="495"/>
      <c r="AO215" s="495"/>
    </row>
    <row r="216" spans="1:41" ht="12">
      <c r="A216" s="495"/>
      <c r="B216" s="495"/>
      <c r="C216" s="495"/>
      <c r="D216" s="495"/>
      <c r="E216" s="495"/>
      <c r="F216" s="495"/>
      <c r="G216" s="495"/>
      <c r="H216" s="495"/>
      <c r="I216" s="495"/>
      <c r="J216" s="495"/>
      <c r="K216" s="495"/>
      <c r="L216" s="495"/>
      <c r="M216" s="495"/>
      <c r="N216" s="495"/>
      <c r="O216" s="495"/>
      <c r="P216" s="495"/>
      <c r="Q216" s="495"/>
      <c r="R216" s="495"/>
      <c r="S216" s="495"/>
      <c r="T216" s="495"/>
      <c r="U216" s="495"/>
      <c r="V216" s="495"/>
      <c r="W216" s="495"/>
      <c r="X216" s="495"/>
      <c r="Y216" s="495"/>
      <c r="Z216" s="495"/>
      <c r="AA216" s="495"/>
      <c r="AB216" s="495"/>
      <c r="AC216" s="495"/>
      <c r="AD216" s="495"/>
      <c r="AE216" s="495"/>
      <c r="AF216" s="495"/>
      <c r="AG216" s="495"/>
      <c r="AH216" s="495"/>
      <c r="AI216" s="495"/>
      <c r="AJ216" s="495"/>
      <c r="AK216" s="495"/>
      <c r="AL216" s="495"/>
      <c r="AM216" s="495"/>
      <c r="AN216" s="495"/>
      <c r="AO216" s="495"/>
    </row>
    <row r="217" spans="1:41" ht="12">
      <c r="A217" s="495"/>
      <c r="B217" s="495"/>
      <c r="C217" s="495"/>
      <c r="D217" s="495"/>
      <c r="E217" s="495"/>
      <c r="F217" s="495"/>
      <c r="G217" s="495"/>
      <c r="H217" s="495"/>
      <c r="I217" s="495"/>
      <c r="J217" s="495"/>
      <c r="K217" s="495"/>
      <c r="L217" s="495"/>
      <c r="M217" s="495"/>
      <c r="N217" s="495"/>
      <c r="O217" s="495"/>
      <c r="P217" s="495"/>
      <c r="Q217" s="495"/>
      <c r="R217" s="495"/>
      <c r="S217" s="495"/>
      <c r="T217" s="495"/>
      <c r="U217" s="495"/>
      <c r="V217" s="495"/>
      <c r="W217" s="495"/>
      <c r="X217" s="495"/>
      <c r="Y217" s="495"/>
      <c r="Z217" s="495"/>
      <c r="AA217" s="495"/>
      <c r="AB217" s="495"/>
      <c r="AC217" s="495"/>
      <c r="AD217" s="495"/>
      <c r="AE217" s="495"/>
      <c r="AF217" s="495"/>
      <c r="AG217" s="495"/>
      <c r="AH217" s="495"/>
      <c r="AI217" s="495"/>
      <c r="AJ217" s="495"/>
      <c r="AK217" s="495"/>
      <c r="AL217" s="495"/>
      <c r="AM217" s="495"/>
      <c r="AN217" s="495"/>
      <c r="AO217" s="495"/>
    </row>
    <row r="218" spans="1:41" ht="12">
      <c r="A218" s="495"/>
      <c r="B218" s="495"/>
      <c r="C218" s="495"/>
      <c r="D218" s="495"/>
      <c r="E218" s="495"/>
      <c r="F218" s="495"/>
      <c r="G218" s="495"/>
      <c r="H218" s="495"/>
      <c r="I218" s="495"/>
      <c r="J218" s="495"/>
      <c r="K218" s="495"/>
      <c r="L218" s="495"/>
      <c r="M218" s="495"/>
      <c r="N218" s="495"/>
      <c r="O218" s="495"/>
      <c r="P218" s="495"/>
      <c r="Q218" s="495"/>
      <c r="R218" s="495"/>
      <c r="S218" s="495"/>
      <c r="T218" s="495"/>
      <c r="U218" s="495"/>
      <c r="V218" s="495"/>
      <c r="W218" s="495"/>
      <c r="X218" s="495"/>
      <c r="Y218" s="495"/>
      <c r="Z218" s="495"/>
      <c r="AA218" s="495"/>
      <c r="AB218" s="495"/>
      <c r="AC218" s="495"/>
      <c r="AD218" s="495"/>
      <c r="AE218" s="495"/>
      <c r="AF218" s="495"/>
      <c r="AG218" s="495"/>
      <c r="AH218" s="495"/>
      <c r="AI218" s="495"/>
      <c r="AJ218" s="495"/>
      <c r="AK218" s="495"/>
      <c r="AL218" s="495"/>
      <c r="AM218" s="495"/>
      <c r="AN218" s="495"/>
      <c r="AO218" s="495"/>
    </row>
    <row r="219" spans="1:41" ht="12">
      <c r="A219" s="495"/>
      <c r="B219" s="495"/>
      <c r="C219" s="495"/>
      <c r="D219" s="495"/>
      <c r="E219" s="495"/>
      <c r="F219" s="495"/>
      <c r="G219" s="495"/>
      <c r="H219" s="495"/>
      <c r="I219" s="495"/>
      <c r="J219" s="495"/>
      <c r="K219" s="495"/>
      <c r="L219" s="495"/>
      <c r="M219" s="495"/>
      <c r="N219" s="495"/>
      <c r="O219" s="495"/>
      <c r="P219" s="495"/>
      <c r="Q219" s="495"/>
      <c r="R219" s="495"/>
      <c r="S219" s="495"/>
      <c r="T219" s="495"/>
      <c r="U219" s="495"/>
      <c r="V219" s="495"/>
      <c r="W219" s="495"/>
      <c r="X219" s="495"/>
      <c r="Y219" s="495"/>
      <c r="Z219" s="495"/>
      <c r="AA219" s="495"/>
      <c r="AB219" s="495"/>
      <c r="AC219" s="495"/>
      <c r="AD219" s="495"/>
      <c r="AE219" s="495"/>
      <c r="AF219" s="495"/>
      <c r="AG219" s="495"/>
      <c r="AH219" s="495"/>
      <c r="AI219" s="495"/>
      <c r="AJ219" s="495"/>
      <c r="AK219" s="495"/>
      <c r="AL219" s="495"/>
      <c r="AM219" s="495"/>
      <c r="AN219" s="495"/>
      <c r="AO219" s="495"/>
    </row>
    <row r="220" spans="1:41" ht="12">
      <c r="A220" s="495"/>
      <c r="B220" s="495"/>
      <c r="C220" s="495"/>
      <c r="D220" s="495"/>
      <c r="E220" s="495"/>
      <c r="F220" s="495"/>
      <c r="G220" s="495"/>
      <c r="H220" s="495"/>
      <c r="I220" s="495"/>
      <c r="J220" s="495"/>
      <c r="K220" s="495"/>
      <c r="L220" s="495"/>
      <c r="M220" s="495"/>
      <c r="N220" s="495"/>
      <c r="O220" s="495"/>
      <c r="P220" s="495"/>
      <c r="Q220" s="495"/>
      <c r="R220" s="495"/>
      <c r="S220" s="495"/>
      <c r="T220" s="495"/>
      <c r="U220" s="495"/>
      <c r="V220" s="495"/>
      <c r="W220" s="495"/>
      <c r="X220" s="495"/>
      <c r="Y220" s="495"/>
      <c r="Z220" s="495"/>
      <c r="AA220" s="495"/>
      <c r="AB220" s="495"/>
      <c r="AC220" s="495"/>
      <c r="AD220" s="495"/>
      <c r="AE220" s="495"/>
      <c r="AF220" s="495"/>
      <c r="AG220" s="495"/>
      <c r="AH220" s="495"/>
      <c r="AI220" s="495"/>
      <c r="AJ220" s="495"/>
      <c r="AK220" s="495"/>
      <c r="AL220" s="495"/>
      <c r="AM220" s="495"/>
      <c r="AN220" s="495"/>
      <c r="AO220" s="495"/>
    </row>
    <row r="221" spans="1:41" ht="12">
      <c r="A221" s="495"/>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row>
    <row r="222" spans="1:41" ht="12">
      <c r="A222" s="495"/>
      <c r="B222" s="495"/>
      <c r="C222" s="495"/>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5"/>
      <c r="AD222" s="495"/>
      <c r="AE222" s="495"/>
      <c r="AF222" s="495"/>
      <c r="AG222" s="495"/>
      <c r="AH222" s="495"/>
      <c r="AI222" s="495"/>
      <c r="AJ222" s="495"/>
      <c r="AK222" s="495"/>
      <c r="AL222" s="495"/>
      <c r="AM222" s="495"/>
      <c r="AN222" s="495"/>
      <c r="AO222" s="495"/>
    </row>
    <row r="223" spans="1:41" ht="12">
      <c r="A223" s="495"/>
      <c r="B223" s="495"/>
      <c r="C223" s="495"/>
      <c r="D223" s="495"/>
      <c r="E223" s="495"/>
      <c r="F223" s="495"/>
      <c r="G223" s="495"/>
      <c r="H223" s="495"/>
      <c r="I223" s="495"/>
      <c r="J223" s="495"/>
      <c r="K223" s="495"/>
      <c r="L223" s="495"/>
      <c r="M223" s="495"/>
      <c r="N223" s="495"/>
      <c r="O223" s="495"/>
      <c r="P223" s="495"/>
      <c r="Q223" s="495"/>
      <c r="R223" s="495"/>
      <c r="S223" s="495"/>
      <c r="T223" s="495"/>
      <c r="U223" s="495"/>
      <c r="V223" s="495"/>
      <c r="W223" s="495"/>
      <c r="X223" s="495"/>
      <c r="Y223" s="495"/>
      <c r="Z223" s="495"/>
      <c r="AA223" s="495"/>
      <c r="AB223" s="495"/>
      <c r="AC223" s="495"/>
      <c r="AD223" s="495"/>
      <c r="AE223" s="495"/>
      <c r="AF223" s="495"/>
      <c r="AG223" s="495"/>
      <c r="AH223" s="495"/>
      <c r="AI223" s="495"/>
      <c r="AJ223" s="495"/>
      <c r="AK223" s="495"/>
      <c r="AL223" s="495"/>
      <c r="AM223" s="495"/>
      <c r="AN223" s="495"/>
      <c r="AO223" s="495"/>
    </row>
    <row r="224" spans="1:41" ht="12">
      <c r="A224" s="495"/>
      <c r="B224" s="495"/>
      <c r="C224" s="495"/>
      <c r="D224" s="495"/>
      <c r="E224" s="495"/>
      <c r="F224" s="495"/>
      <c r="G224" s="495"/>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95"/>
      <c r="AI224" s="495"/>
      <c r="AJ224" s="495"/>
      <c r="AK224" s="495"/>
      <c r="AL224" s="495"/>
      <c r="AM224" s="495"/>
      <c r="AN224" s="495"/>
      <c r="AO224" s="495"/>
    </row>
    <row r="225" spans="1:41" ht="12">
      <c r="A225" s="495"/>
      <c r="B225" s="495"/>
      <c r="C225" s="495"/>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5"/>
      <c r="AD225" s="495"/>
      <c r="AE225" s="495"/>
      <c r="AF225" s="495"/>
      <c r="AG225" s="495"/>
      <c r="AH225" s="495"/>
      <c r="AI225" s="495"/>
      <c r="AJ225" s="495"/>
      <c r="AK225" s="495"/>
      <c r="AL225" s="495"/>
      <c r="AM225" s="495"/>
      <c r="AN225" s="495"/>
      <c r="AO225" s="495"/>
    </row>
    <row r="226" spans="1:41" ht="12">
      <c r="A226" s="495"/>
      <c r="B226" s="495"/>
      <c r="C226" s="495"/>
      <c r="D226" s="495"/>
      <c r="E226" s="495"/>
      <c r="F226" s="495"/>
      <c r="G226" s="495"/>
      <c r="H226" s="495"/>
      <c r="I226" s="495"/>
      <c r="J226" s="495"/>
      <c r="K226" s="495"/>
      <c r="L226" s="495"/>
      <c r="M226" s="495"/>
      <c r="N226" s="495"/>
      <c r="O226" s="495"/>
      <c r="P226" s="495"/>
      <c r="Q226" s="495"/>
      <c r="R226" s="495"/>
      <c r="S226" s="495"/>
      <c r="T226" s="495"/>
      <c r="U226" s="495"/>
      <c r="V226" s="495"/>
      <c r="W226" s="495"/>
      <c r="X226" s="495"/>
      <c r="Y226" s="495"/>
      <c r="Z226" s="495"/>
      <c r="AA226" s="495"/>
      <c r="AB226" s="495"/>
      <c r="AC226" s="495"/>
      <c r="AD226" s="495"/>
      <c r="AE226" s="495"/>
      <c r="AF226" s="495"/>
      <c r="AG226" s="495"/>
      <c r="AH226" s="495"/>
      <c r="AI226" s="495"/>
      <c r="AJ226" s="495"/>
      <c r="AK226" s="495"/>
      <c r="AL226" s="495"/>
      <c r="AM226" s="495"/>
      <c r="AN226" s="495"/>
      <c r="AO226" s="495"/>
    </row>
    <row r="227" spans="1:41" ht="12">
      <c r="A227" s="495"/>
      <c r="B227" s="495"/>
      <c r="C227" s="495"/>
      <c r="D227" s="495"/>
      <c r="E227" s="495"/>
      <c r="F227" s="495"/>
      <c r="G227" s="495"/>
      <c r="H227" s="495"/>
      <c r="I227" s="495"/>
      <c r="J227" s="495"/>
      <c r="K227" s="495"/>
      <c r="L227" s="495"/>
      <c r="M227" s="495"/>
      <c r="N227" s="495"/>
      <c r="O227" s="495"/>
      <c r="P227" s="495"/>
      <c r="Q227" s="495"/>
      <c r="R227" s="495"/>
      <c r="S227" s="495"/>
      <c r="T227" s="495"/>
      <c r="U227" s="495"/>
      <c r="V227" s="495"/>
      <c r="W227" s="495"/>
      <c r="X227" s="495"/>
      <c r="Y227" s="495"/>
      <c r="Z227" s="495"/>
      <c r="AA227" s="495"/>
      <c r="AB227" s="495"/>
      <c r="AC227" s="495"/>
      <c r="AD227" s="495"/>
      <c r="AE227" s="495"/>
      <c r="AF227" s="495"/>
      <c r="AG227" s="495"/>
      <c r="AH227" s="495"/>
      <c r="AI227" s="495"/>
      <c r="AJ227" s="495"/>
      <c r="AK227" s="495"/>
      <c r="AL227" s="495"/>
      <c r="AM227" s="495"/>
      <c r="AN227" s="495"/>
      <c r="AO227" s="495"/>
    </row>
    <row r="228" spans="1:41" ht="12">
      <c r="A228" s="495"/>
      <c r="B228" s="495"/>
      <c r="C228" s="495"/>
      <c r="D228" s="495"/>
      <c r="E228" s="495"/>
      <c r="F228" s="495"/>
      <c r="G228" s="495"/>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row>
    <row r="229" spans="1:41" ht="12">
      <c r="A229" s="495"/>
      <c r="B229" s="495"/>
      <c r="C229" s="495"/>
      <c r="D229" s="495"/>
      <c r="E229" s="495"/>
      <c r="F229" s="495"/>
      <c r="G229" s="495"/>
      <c r="H229" s="495"/>
      <c r="I229" s="495"/>
      <c r="J229" s="495"/>
      <c r="K229" s="495"/>
      <c r="L229" s="495"/>
      <c r="M229" s="495"/>
      <c r="N229" s="495"/>
      <c r="O229" s="495"/>
      <c r="P229" s="495"/>
      <c r="Q229" s="495"/>
      <c r="R229" s="495"/>
      <c r="S229" s="495"/>
      <c r="T229" s="495"/>
      <c r="U229" s="495"/>
      <c r="V229" s="495"/>
      <c r="W229" s="495"/>
      <c r="X229" s="495"/>
      <c r="Y229" s="495"/>
      <c r="Z229" s="495"/>
      <c r="AA229" s="495"/>
      <c r="AB229" s="495"/>
      <c r="AC229" s="495"/>
      <c r="AD229" s="495"/>
      <c r="AE229" s="495"/>
      <c r="AF229" s="495"/>
      <c r="AG229" s="495"/>
      <c r="AH229" s="495"/>
      <c r="AI229" s="495"/>
      <c r="AJ229" s="495"/>
      <c r="AK229" s="495"/>
      <c r="AL229" s="495"/>
      <c r="AM229" s="495"/>
      <c r="AN229" s="495"/>
      <c r="AO229" s="495"/>
    </row>
    <row r="230" spans="1:41" ht="12">
      <c r="A230" s="495"/>
      <c r="B230" s="495"/>
      <c r="C230" s="495"/>
      <c r="D230" s="495"/>
      <c r="E230" s="495"/>
      <c r="F230" s="495"/>
      <c r="G230" s="495"/>
      <c r="H230" s="495"/>
      <c r="I230" s="495"/>
      <c r="J230" s="495"/>
      <c r="K230" s="495"/>
      <c r="L230" s="495"/>
      <c r="M230" s="495"/>
      <c r="N230" s="495"/>
      <c r="O230" s="495"/>
      <c r="P230" s="495"/>
      <c r="Q230" s="495"/>
      <c r="R230" s="495"/>
      <c r="S230" s="495"/>
      <c r="T230" s="495"/>
      <c r="U230" s="495"/>
      <c r="V230" s="495"/>
      <c r="W230" s="495"/>
      <c r="X230" s="495"/>
      <c r="Y230" s="495"/>
      <c r="Z230" s="495"/>
      <c r="AA230" s="495"/>
      <c r="AB230" s="495"/>
      <c r="AC230" s="495"/>
      <c r="AD230" s="495"/>
      <c r="AE230" s="495"/>
      <c r="AF230" s="495"/>
      <c r="AG230" s="495"/>
      <c r="AH230" s="495"/>
      <c r="AI230" s="495"/>
      <c r="AJ230" s="495"/>
      <c r="AK230" s="495"/>
      <c r="AL230" s="495"/>
      <c r="AM230" s="495"/>
      <c r="AN230" s="495"/>
      <c r="AO230" s="495"/>
    </row>
    <row r="231" spans="1:41" ht="12">
      <c r="A231" s="495"/>
      <c r="B231" s="495"/>
      <c r="C231" s="495"/>
      <c r="D231" s="495"/>
      <c r="E231" s="495"/>
      <c r="F231" s="495"/>
      <c r="G231" s="495"/>
      <c r="H231" s="495"/>
      <c r="I231" s="495"/>
      <c r="J231" s="495"/>
      <c r="K231" s="495"/>
      <c r="L231" s="495"/>
      <c r="M231" s="495"/>
      <c r="N231" s="495"/>
      <c r="O231" s="495"/>
      <c r="P231" s="495"/>
      <c r="Q231" s="495"/>
      <c r="R231" s="495"/>
      <c r="S231" s="495"/>
      <c r="T231" s="495"/>
      <c r="U231" s="495"/>
      <c r="V231" s="495"/>
      <c r="W231" s="495"/>
      <c r="X231" s="495"/>
      <c r="Y231" s="495"/>
      <c r="Z231" s="495"/>
      <c r="AA231" s="495"/>
      <c r="AB231" s="495"/>
      <c r="AC231" s="495"/>
      <c r="AD231" s="495"/>
      <c r="AE231" s="495"/>
      <c r="AF231" s="495"/>
      <c r="AG231" s="495"/>
      <c r="AH231" s="495"/>
      <c r="AI231" s="495"/>
      <c r="AJ231" s="495"/>
      <c r="AK231" s="495"/>
      <c r="AL231" s="495"/>
      <c r="AM231" s="495"/>
      <c r="AN231" s="495"/>
      <c r="AO231" s="495"/>
    </row>
    <row r="232" spans="1:41" ht="12">
      <c r="A232" s="495"/>
      <c r="B232" s="495"/>
      <c r="C232" s="495"/>
      <c r="D232" s="495"/>
      <c r="E232" s="495"/>
      <c r="F232" s="495"/>
      <c r="G232" s="495"/>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c r="AK232" s="495"/>
      <c r="AL232" s="495"/>
      <c r="AM232" s="495"/>
      <c r="AN232" s="495"/>
      <c r="AO232" s="495"/>
    </row>
    <row r="233" spans="1:41" ht="12">
      <c r="A233" s="495"/>
      <c r="B233" s="495"/>
      <c r="C233" s="495"/>
      <c r="D233" s="495"/>
      <c r="E233" s="495"/>
      <c r="F233" s="495"/>
      <c r="G233" s="495"/>
      <c r="H233" s="495"/>
      <c r="I233" s="495"/>
      <c r="J233" s="495"/>
      <c r="K233" s="495"/>
      <c r="L233" s="495"/>
      <c r="M233" s="495"/>
      <c r="N233" s="495"/>
      <c r="O233" s="495"/>
      <c r="P233" s="495"/>
      <c r="Q233" s="495"/>
      <c r="R233" s="495"/>
      <c r="S233" s="495"/>
      <c r="T233" s="495"/>
      <c r="U233" s="495"/>
      <c r="V233" s="495"/>
      <c r="W233" s="495"/>
      <c r="X233" s="495"/>
      <c r="Y233" s="495"/>
      <c r="Z233" s="495"/>
      <c r="AA233" s="495"/>
      <c r="AB233" s="495"/>
      <c r="AC233" s="495"/>
      <c r="AD233" s="495"/>
      <c r="AE233" s="495"/>
      <c r="AF233" s="495"/>
      <c r="AG233" s="495"/>
      <c r="AH233" s="495"/>
      <c r="AI233" s="495"/>
      <c r="AJ233" s="495"/>
      <c r="AK233" s="495"/>
      <c r="AL233" s="495"/>
      <c r="AM233" s="495"/>
      <c r="AN233" s="495"/>
      <c r="AO233" s="495"/>
    </row>
    <row r="234" spans="1:41" ht="12">
      <c r="A234" s="495"/>
      <c r="B234" s="495"/>
      <c r="C234" s="495"/>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5"/>
      <c r="AD234" s="495"/>
      <c r="AE234" s="495"/>
      <c r="AF234" s="495"/>
      <c r="AG234" s="495"/>
      <c r="AH234" s="495"/>
      <c r="AI234" s="495"/>
      <c r="AJ234" s="495"/>
      <c r="AK234" s="495"/>
      <c r="AL234" s="495"/>
      <c r="AM234" s="495"/>
      <c r="AN234" s="495"/>
      <c r="AO234" s="495"/>
    </row>
    <row r="235" spans="1:41" ht="12">
      <c r="A235" s="495"/>
      <c r="B235" s="495"/>
      <c r="C235" s="495"/>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5"/>
      <c r="AD235" s="495"/>
      <c r="AE235" s="495"/>
      <c r="AF235" s="495"/>
      <c r="AG235" s="495"/>
      <c r="AH235" s="495"/>
      <c r="AI235" s="495"/>
      <c r="AJ235" s="495"/>
      <c r="AK235" s="495"/>
      <c r="AL235" s="495"/>
      <c r="AM235" s="495"/>
      <c r="AN235" s="495"/>
      <c r="AO235" s="495"/>
    </row>
    <row r="236" spans="1:41" ht="12">
      <c r="A236" s="495"/>
      <c r="B236" s="495"/>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row>
    <row r="237" spans="1:41" ht="12">
      <c r="A237" s="495"/>
      <c r="B237" s="495"/>
      <c r="C237" s="495"/>
      <c r="D237" s="495"/>
      <c r="E237" s="495"/>
      <c r="F237" s="495"/>
      <c r="G237" s="495"/>
      <c r="H237" s="495"/>
      <c r="I237" s="495"/>
      <c r="J237" s="495"/>
      <c r="K237" s="495"/>
      <c r="L237" s="495"/>
      <c r="M237" s="495"/>
      <c r="N237" s="495"/>
      <c r="O237" s="495"/>
      <c r="P237" s="495"/>
      <c r="Q237" s="495"/>
      <c r="R237" s="495"/>
      <c r="S237" s="495"/>
      <c r="T237" s="495"/>
      <c r="U237" s="495"/>
      <c r="V237" s="495"/>
      <c r="W237" s="495"/>
      <c r="X237" s="495"/>
      <c r="Y237" s="495"/>
      <c r="Z237" s="495"/>
      <c r="AA237" s="495"/>
      <c r="AB237" s="495"/>
      <c r="AC237" s="495"/>
      <c r="AD237" s="495"/>
      <c r="AE237" s="495"/>
      <c r="AF237" s="495"/>
      <c r="AG237" s="495"/>
      <c r="AH237" s="495"/>
      <c r="AI237" s="495"/>
      <c r="AJ237" s="495"/>
      <c r="AK237" s="495"/>
      <c r="AL237" s="495"/>
      <c r="AM237" s="495"/>
      <c r="AN237" s="495"/>
      <c r="AO237" s="495"/>
    </row>
    <row r="238" spans="1:41" ht="12">
      <c r="A238" s="495"/>
      <c r="B238" s="495"/>
      <c r="C238" s="495"/>
      <c r="D238" s="495"/>
      <c r="E238" s="495"/>
      <c r="F238" s="495"/>
      <c r="G238" s="495"/>
      <c r="H238" s="495"/>
      <c r="I238" s="495"/>
      <c r="J238" s="495"/>
      <c r="K238" s="495"/>
      <c r="L238" s="495"/>
      <c r="M238" s="495"/>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495"/>
      <c r="AK238" s="495"/>
      <c r="AL238" s="495"/>
      <c r="AM238" s="495"/>
      <c r="AN238" s="495"/>
      <c r="AO238" s="495"/>
    </row>
    <row r="239" spans="1:41" ht="12">
      <c r="A239" s="495"/>
      <c r="B239" s="495"/>
      <c r="C239" s="495"/>
      <c r="D239" s="495"/>
      <c r="E239" s="495"/>
      <c r="F239" s="495"/>
      <c r="G239" s="495"/>
      <c r="H239" s="495"/>
      <c r="I239" s="495"/>
      <c r="J239" s="495"/>
      <c r="K239" s="495"/>
      <c r="L239" s="495"/>
      <c r="M239" s="495"/>
      <c r="N239" s="495"/>
      <c r="O239" s="495"/>
      <c r="P239" s="495"/>
      <c r="Q239" s="495"/>
      <c r="R239" s="495"/>
      <c r="S239" s="495"/>
      <c r="T239" s="495"/>
      <c r="U239" s="495"/>
      <c r="V239" s="495"/>
      <c r="W239" s="495"/>
      <c r="X239" s="495"/>
      <c r="Y239" s="495"/>
      <c r="Z239" s="495"/>
      <c r="AA239" s="495"/>
      <c r="AB239" s="495"/>
      <c r="AC239" s="495"/>
      <c r="AD239" s="495"/>
      <c r="AE239" s="495"/>
      <c r="AF239" s="495"/>
      <c r="AG239" s="495"/>
      <c r="AH239" s="495"/>
      <c r="AI239" s="495"/>
      <c r="AJ239" s="495"/>
      <c r="AK239" s="495"/>
      <c r="AL239" s="495"/>
      <c r="AM239" s="495"/>
      <c r="AN239" s="495"/>
      <c r="AO239" s="495"/>
    </row>
    <row r="240" spans="1:41" ht="12">
      <c r="A240" s="495"/>
      <c r="B240" s="495"/>
      <c r="C240" s="495"/>
      <c r="D240" s="495"/>
      <c r="E240" s="495"/>
      <c r="F240" s="495"/>
      <c r="G240" s="495"/>
      <c r="H240" s="495"/>
      <c r="I240" s="495"/>
      <c r="J240" s="495"/>
      <c r="K240" s="495"/>
      <c r="L240" s="495"/>
      <c r="M240" s="495"/>
      <c r="N240" s="495"/>
      <c r="O240" s="495"/>
      <c r="P240" s="495"/>
      <c r="Q240" s="495"/>
      <c r="R240" s="495"/>
      <c r="S240" s="495"/>
      <c r="T240" s="495"/>
      <c r="U240" s="495"/>
      <c r="V240" s="495"/>
      <c r="W240" s="495"/>
      <c r="X240" s="495"/>
      <c r="Y240" s="495"/>
      <c r="Z240" s="495"/>
      <c r="AA240" s="495"/>
      <c r="AB240" s="495"/>
      <c r="AC240" s="495"/>
      <c r="AD240" s="495"/>
      <c r="AE240" s="495"/>
      <c r="AF240" s="495"/>
      <c r="AG240" s="495"/>
      <c r="AH240" s="495"/>
      <c r="AI240" s="495"/>
      <c r="AJ240" s="495"/>
      <c r="AK240" s="495"/>
      <c r="AL240" s="495"/>
      <c r="AM240" s="495"/>
      <c r="AN240" s="495"/>
      <c r="AO240" s="495"/>
    </row>
    <row r="241" spans="1:41" ht="12">
      <c r="A241" s="495"/>
      <c r="B241" s="495"/>
      <c r="C241" s="495"/>
      <c r="D241" s="495"/>
      <c r="E241" s="495"/>
      <c r="F241" s="495"/>
      <c r="G241" s="495"/>
      <c r="H241" s="495"/>
      <c r="I241" s="495"/>
      <c r="J241" s="495"/>
      <c r="K241" s="495"/>
      <c r="L241" s="495"/>
      <c r="M241" s="495"/>
      <c r="N241" s="495"/>
      <c r="O241" s="495"/>
      <c r="P241" s="495"/>
      <c r="Q241" s="495"/>
      <c r="R241" s="495"/>
      <c r="S241" s="495"/>
      <c r="T241" s="495"/>
      <c r="U241" s="495"/>
      <c r="V241" s="495"/>
      <c r="W241" s="495"/>
      <c r="X241" s="495"/>
      <c r="Y241" s="495"/>
      <c r="Z241" s="495"/>
      <c r="AA241" s="495"/>
      <c r="AB241" s="495"/>
      <c r="AC241" s="495"/>
      <c r="AD241" s="495"/>
      <c r="AE241" s="495"/>
      <c r="AF241" s="495"/>
      <c r="AG241" s="495"/>
      <c r="AH241" s="495"/>
      <c r="AI241" s="495"/>
      <c r="AJ241" s="495"/>
      <c r="AK241" s="495"/>
      <c r="AL241" s="495"/>
      <c r="AM241" s="495"/>
      <c r="AN241" s="495"/>
      <c r="AO241" s="495"/>
    </row>
    <row r="242" spans="1:41" ht="12">
      <c r="A242" s="495"/>
      <c r="B242" s="495"/>
      <c r="C242" s="495"/>
      <c r="D242" s="495"/>
      <c r="E242" s="495"/>
      <c r="F242" s="495"/>
      <c r="G242" s="495"/>
      <c r="H242" s="495"/>
      <c r="I242" s="495"/>
      <c r="J242" s="495"/>
      <c r="K242" s="495"/>
      <c r="L242" s="495"/>
      <c r="M242" s="495"/>
      <c r="N242" s="495"/>
      <c r="O242" s="495"/>
      <c r="P242" s="495"/>
      <c r="Q242" s="495"/>
      <c r="R242" s="495"/>
      <c r="S242" s="495"/>
      <c r="T242" s="495"/>
      <c r="U242" s="495"/>
      <c r="V242" s="495"/>
      <c r="W242" s="495"/>
      <c r="X242" s="495"/>
      <c r="Y242" s="495"/>
      <c r="Z242" s="495"/>
      <c r="AA242" s="495"/>
      <c r="AB242" s="495"/>
      <c r="AC242" s="495"/>
      <c r="AD242" s="495"/>
      <c r="AE242" s="495"/>
      <c r="AF242" s="495"/>
      <c r="AG242" s="495"/>
      <c r="AH242" s="495"/>
      <c r="AI242" s="495"/>
      <c r="AJ242" s="495"/>
      <c r="AK242" s="495"/>
      <c r="AL242" s="495"/>
      <c r="AM242" s="495"/>
      <c r="AN242" s="495"/>
      <c r="AO242" s="495"/>
    </row>
    <row r="243" spans="1:41" ht="12">
      <c r="A243" s="495"/>
      <c r="B243" s="495"/>
      <c r="C243" s="495"/>
      <c r="D243" s="495"/>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row>
    <row r="244" spans="1:41" ht="12">
      <c r="A244" s="495"/>
      <c r="B244" s="495"/>
      <c r="C244" s="495"/>
      <c r="D244" s="495"/>
      <c r="E244" s="495"/>
      <c r="F244" s="495"/>
      <c r="G244" s="495"/>
      <c r="H244" s="495"/>
      <c r="I244" s="495"/>
      <c r="J244" s="495"/>
      <c r="K244" s="495"/>
      <c r="L244" s="495"/>
      <c r="M244" s="495"/>
      <c r="N244" s="495"/>
      <c r="O244" s="495"/>
      <c r="P244" s="495"/>
      <c r="Q244" s="495"/>
      <c r="R244" s="495"/>
      <c r="S244" s="495"/>
      <c r="T244" s="495"/>
      <c r="U244" s="495"/>
      <c r="V244" s="495"/>
      <c r="W244" s="495"/>
      <c r="X244" s="495"/>
      <c r="Y244" s="495"/>
      <c r="Z244" s="495"/>
      <c r="AA244" s="495"/>
      <c r="AB244" s="495"/>
      <c r="AC244" s="495"/>
      <c r="AD244" s="495"/>
      <c r="AE244" s="495"/>
      <c r="AF244" s="495"/>
      <c r="AG244" s="495"/>
      <c r="AH244" s="495"/>
      <c r="AI244" s="495"/>
      <c r="AJ244" s="495"/>
      <c r="AK244" s="495"/>
      <c r="AL244" s="495"/>
      <c r="AM244" s="495"/>
      <c r="AN244" s="495"/>
      <c r="AO244" s="495"/>
    </row>
    <row r="245" spans="1:41" ht="12">
      <c r="A245" s="495"/>
      <c r="B245" s="495"/>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495"/>
      <c r="AD245" s="495"/>
      <c r="AE245" s="495"/>
      <c r="AF245" s="495"/>
      <c r="AG245" s="495"/>
      <c r="AH245" s="495"/>
      <c r="AI245" s="495"/>
      <c r="AJ245" s="495"/>
      <c r="AK245" s="495"/>
      <c r="AL245" s="495"/>
      <c r="AM245" s="495"/>
      <c r="AN245" s="495"/>
      <c r="AO245" s="495"/>
    </row>
    <row r="246" spans="1:41" ht="12">
      <c r="A246" s="495"/>
      <c r="B246" s="495"/>
      <c r="C246" s="495"/>
      <c r="D246" s="495"/>
      <c r="E246" s="495"/>
      <c r="F246" s="495"/>
      <c r="G246" s="495"/>
      <c r="H246" s="495"/>
      <c r="I246" s="495"/>
      <c r="J246" s="495"/>
      <c r="K246" s="495"/>
      <c r="L246" s="495"/>
      <c r="M246" s="495"/>
      <c r="N246" s="495"/>
      <c r="O246" s="495"/>
      <c r="P246" s="495"/>
      <c r="Q246" s="495"/>
      <c r="R246" s="495"/>
      <c r="S246" s="495"/>
      <c r="T246" s="495"/>
      <c r="U246" s="495"/>
      <c r="V246" s="495"/>
      <c r="W246" s="495"/>
      <c r="X246" s="495"/>
      <c r="Y246" s="495"/>
      <c r="Z246" s="495"/>
      <c r="AA246" s="495"/>
      <c r="AB246" s="495"/>
      <c r="AC246" s="495"/>
      <c r="AD246" s="495"/>
      <c r="AE246" s="495"/>
      <c r="AF246" s="495"/>
      <c r="AG246" s="495"/>
      <c r="AH246" s="495"/>
      <c r="AI246" s="495"/>
      <c r="AJ246" s="495"/>
      <c r="AK246" s="495"/>
      <c r="AL246" s="495"/>
      <c r="AM246" s="495"/>
      <c r="AN246" s="495"/>
      <c r="AO246" s="495"/>
    </row>
    <row r="247" spans="1:41" ht="12">
      <c r="A247" s="495"/>
      <c r="B247" s="495"/>
      <c r="C247" s="495"/>
      <c r="D247" s="495"/>
      <c r="E247" s="495"/>
      <c r="F247" s="495"/>
      <c r="G247" s="495"/>
      <c r="H247" s="495"/>
      <c r="I247" s="495"/>
      <c r="J247" s="495"/>
      <c r="K247" s="495"/>
      <c r="L247" s="495"/>
      <c r="M247" s="495"/>
      <c r="N247" s="495"/>
      <c r="O247" s="495"/>
      <c r="P247" s="495"/>
      <c r="Q247" s="495"/>
      <c r="R247" s="495"/>
      <c r="S247" s="495"/>
      <c r="T247" s="495"/>
      <c r="U247" s="495"/>
      <c r="V247" s="495"/>
      <c r="W247" s="495"/>
      <c r="X247" s="495"/>
      <c r="Y247" s="495"/>
      <c r="Z247" s="495"/>
      <c r="AA247" s="495"/>
      <c r="AB247" s="495"/>
      <c r="AC247" s="495"/>
      <c r="AD247" s="495"/>
      <c r="AE247" s="495"/>
      <c r="AF247" s="495"/>
      <c r="AG247" s="495"/>
      <c r="AH247" s="495"/>
      <c r="AI247" s="495"/>
      <c r="AJ247" s="495"/>
      <c r="AK247" s="495"/>
      <c r="AL247" s="495"/>
      <c r="AM247" s="495"/>
      <c r="AN247" s="495"/>
      <c r="AO247" s="495"/>
    </row>
    <row r="248" spans="1:41" ht="12">
      <c r="A248" s="495"/>
      <c r="B248" s="495"/>
      <c r="C248" s="495"/>
      <c r="D248" s="495"/>
      <c r="E248" s="495"/>
      <c r="F248" s="495"/>
      <c r="G248" s="495"/>
      <c r="H248" s="495"/>
      <c r="I248" s="495"/>
      <c r="J248" s="495"/>
      <c r="K248" s="495"/>
      <c r="L248" s="495"/>
      <c r="M248" s="495"/>
      <c r="N248" s="495"/>
      <c r="O248" s="495"/>
      <c r="P248" s="495"/>
      <c r="Q248" s="495"/>
      <c r="R248" s="495"/>
      <c r="S248" s="495"/>
      <c r="T248" s="495"/>
      <c r="U248" s="495"/>
      <c r="V248" s="495"/>
      <c r="W248" s="495"/>
      <c r="X248" s="495"/>
      <c r="Y248" s="495"/>
      <c r="Z248" s="495"/>
      <c r="AA248" s="495"/>
      <c r="AB248" s="495"/>
      <c r="AC248" s="495"/>
      <c r="AD248" s="495"/>
      <c r="AE248" s="495"/>
      <c r="AF248" s="495"/>
      <c r="AG248" s="495"/>
      <c r="AH248" s="495"/>
      <c r="AI248" s="495"/>
      <c r="AJ248" s="495"/>
      <c r="AK248" s="495"/>
      <c r="AL248" s="495"/>
      <c r="AM248" s="495"/>
      <c r="AN248" s="495"/>
      <c r="AO248" s="495"/>
    </row>
    <row r="249" spans="1:41" ht="12">
      <c r="A249" s="495"/>
      <c r="B249" s="495"/>
      <c r="C249" s="495"/>
      <c r="D249" s="495"/>
      <c r="E249" s="495"/>
      <c r="F249" s="495"/>
      <c r="G249" s="495"/>
      <c r="H249" s="495"/>
      <c r="I249" s="495"/>
      <c r="J249" s="495"/>
      <c r="K249" s="495"/>
      <c r="L249" s="495"/>
      <c r="M249" s="495"/>
      <c r="N249" s="495"/>
      <c r="O249" s="495"/>
      <c r="P249" s="495"/>
      <c r="Q249" s="495"/>
      <c r="R249" s="495"/>
      <c r="S249" s="495"/>
      <c r="T249" s="495"/>
      <c r="U249" s="495"/>
      <c r="V249" s="495"/>
      <c r="W249" s="495"/>
      <c r="X249" s="495"/>
      <c r="Y249" s="495"/>
      <c r="Z249" s="495"/>
      <c r="AA249" s="495"/>
      <c r="AB249" s="495"/>
      <c r="AC249" s="495"/>
      <c r="AD249" s="495"/>
      <c r="AE249" s="495"/>
      <c r="AF249" s="495"/>
      <c r="AG249" s="495"/>
      <c r="AH249" s="495"/>
      <c r="AI249" s="495"/>
      <c r="AJ249" s="495"/>
      <c r="AK249" s="495"/>
      <c r="AL249" s="495"/>
      <c r="AM249" s="495"/>
      <c r="AN249" s="495"/>
      <c r="AO249" s="495"/>
    </row>
    <row r="250" spans="1:41" ht="12">
      <c r="A250" s="495"/>
      <c r="B250" s="495"/>
      <c r="C250" s="495"/>
      <c r="D250" s="495"/>
      <c r="E250" s="495"/>
      <c r="F250" s="495"/>
      <c r="G250" s="495"/>
      <c r="H250" s="495"/>
      <c r="I250" s="495"/>
      <c r="J250" s="495"/>
      <c r="K250" s="495"/>
      <c r="L250" s="495"/>
      <c r="M250" s="495"/>
      <c r="N250" s="495"/>
      <c r="O250" s="495"/>
      <c r="P250" s="495"/>
      <c r="Q250" s="495"/>
      <c r="R250" s="495"/>
      <c r="S250" s="495"/>
      <c r="T250" s="495"/>
      <c r="U250" s="495"/>
      <c r="V250" s="495"/>
      <c r="W250" s="495"/>
      <c r="X250" s="495"/>
      <c r="Y250" s="495"/>
      <c r="Z250" s="495"/>
      <c r="AA250" s="495"/>
      <c r="AB250" s="495"/>
      <c r="AC250" s="495"/>
      <c r="AD250" s="495"/>
      <c r="AE250" s="495"/>
      <c r="AF250" s="495"/>
      <c r="AG250" s="495"/>
      <c r="AH250" s="495"/>
      <c r="AI250" s="495"/>
      <c r="AJ250" s="495"/>
      <c r="AK250" s="495"/>
      <c r="AL250" s="495"/>
      <c r="AM250" s="495"/>
      <c r="AN250" s="495"/>
      <c r="AO250" s="495"/>
    </row>
    <row r="251" spans="1:41" ht="12">
      <c r="A251" s="495"/>
      <c r="B251" s="495"/>
      <c r="C251" s="495"/>
      <c r="D251" s="495"/>
      <c r="E251" s="495"/>
      <c r="F251" s="495"/>
      <c r="G251" s="495"/>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c r="AK251" s="495"/>
      <c r="AL251" s="495"/>
      <c r="AM251" s="495"/>
      <c r="AN251" s="495"/>
      <c r="AO251" s="495"/>
    </row>
    <row r="252" spans="1:41" ht="12">
      <c r="A252" s="495"/>
      <c r="B252" s="495"/>
      <c r="C252" s="495"/>
      <c r="D252" s="495"/>
      <c r="E252" s="495"/>
      <c r="F252" s="495"/>
      <c r="G252" s="495"/>
      <c r="H252" s="495"/>
      <c r="I252" s="495"/>
      <c r="J252" s="495"/>
      <c r="K252" s="495"/>
      <c r="L252" s="495"/>
      <c r="M252" s="495"/>
      <c r="N252" s="495"/>
      <c r="O252" s="495"/>
      <c r="P252" s="495"/>
      <c r="Q252" s="495"/>
      <c r="R252" s="495"/>
      <c r="S252" s="495"/>
      <c r="T252" s="495"/>
      <c r="U252" s="495"/>
      <c r="V252" s="495"/>
      <c r="W252" s="495"/>
      <c r="X252" s="495"/>
      <c r="Y252" s="495"/>
      <c r="Z252" s="495"/>
      <c r="AA252" s="495"/>
      <c r="AB252" s="495"/>
      <c r="AC252" s="495"/>
      <c r="AD252" s="495"/>
      <c r="AE252" s="495"/>
      <c r="AF252" s="495"/>
      <c r="AG252" s="495"/>
      <c r="AH252" s="495"/>
      <c r="AI252" s="495"/>
      <c r="AJ252" s="495"/>
      <c r="AK252" s="495"/>
      <c r="AL252" s="495"/>
      <c r="AM252" s="495"/>
      <c r="AN252" s="495"/>
      <c r="AO252" s="495"/>
    </row>
    <row r="253" spans="1:41" ht="12">
      <c r="A253" s="495"/>
      <c r="B253" s="495"/>
      <c r="C253" s="495"/>
      <c r="D253" s="495"/>
      <c r="E253" s="495"/>
      <c r="F253" s="495"/>
      <c r="G253" s="495"/>
      <c r="H253" s="495"/>
      <c r="I253" s="495"/>
      <c r="J253" s="495"/>
      <c r="K253" s="495"/>
      <c r="L253" s="495"/>
      <c r="M253" s="495"/>
      <c r="N253" s="495"/>
      <c r="O253" s="495"/>
      <c r="P253" s="495"/>
      <c r="Q253" s="495"/>
      <c r="R253" s="495"/>
      <c r="S253" s="495"/>
      <c r="T253" s="495"/>
      <c r="U253" s="495"/>
      <c r="V253" s="495"/>
      <c r="W253" s="495"/>
      <c r="X253" s="495"/>
      <c r="Y253" s="495"/>
      <c r="Z253" s="495"/>
      <c r="AA253" s="495"/>
      <c r="AB253" s="495"/>
      <c r="AC253" s="495"/>
      <c r="AD253" s="495"/>
      <c r="AE253" s="495"/>
      <c r="AF253" s="495"/>
      <c r="AG253" s="495"/>
      <c r="AH253" s="495"/>
      <c r="AI253" s="495"/>
      <c r="AJ253" s="495"/>
      <c r="AK253" s="495"/>
      <c r="AL253" s="495"/>
      <c r="AM253" s="495"/>
      <c r="AN253" s="495"/>
      <c r="AO253" s="495"/>
    </row>
    <row r="254" spans="1:41" ht="12">
      <c r="A254" s="495"/>
      <c r="B254" s="495"/>
      <c r="C254" s="495"/>
      <c r="D254" s="495"/>
      <c r="E254" s="495"/>
      <c r="F254" s="495"/>
      <c r="G254" s="495"/>
      <c r="H254" s="495"/>
      <c r="I254" s="495"/>
      <c r="J254" s="495"/>
      <c r="K254" s="495"/>
      <c r="L254" s="495"/>
      <c r="M254" s="495"/>
      <c r="N254" s="495"/>
      <c r="O254" s="495"/>
      <c r="P254" s="495"/>
      <c r="Q254" s="495"/>
      <c r="R254" s="495"/>
      <c r="S254" s="495"/>
      <c r="T254" s="495"/>
      <c r="U254" s="495"/>
      <c r="V254" s="495"/>
      <c r="W254" s="495"/>
      <c r="X254" s="495"/>
      <c r="Y254" s="495"/>
      <c r="Z254" s="495"/>
      <c r="AA254" s="495"/>
      <c r="AB254" s="495"/>
      <c r="AC254" s="495"/>
      <c r="AD254" s="495"/>
      <c r="AE254" s="495"/>
      <c r="AF254" s="495"/>
      <c r="AG254" s="495"/>
      <c r="AH254" s="495"/>
      <c r="AI254" s="495"/>
      <c r="AJ254" s="495"/>
      <c r="AK254" s="495"/>
      <c r="AL254" s="495"/>
      <c r="AM254" s="495"/>
      <c r="AN254" s="495"/>
      <c r="AO254" s="495"/>
    </row>
    <row r="255" spans="1:41" ht="12">
      <c r="A255" s="495"/>
      <c r="B255" s="495"/>
      <c r="C255" s="495"/>
      <c r="D255" s="495"/>
      <c r="E255" s="495"/>
      <c r="F255" s="495"/>
      <c r="G255" s="495"/>
      <c r="H255" s="495"/>
      <c r="I255" s="495"/>
      <c r="J255" s="495"/>
      <c r="K255" s="495"/>
      <c r="L255" s="495"/>
      <c r="M255" s="495"/>
      <c r="N255" s="495"/>
      <c r="O255" s="495"/>
      <c r="P255" s="495"/>
      <c r="Q255" s="495"/>
      <c r="R255" s="495"/>
      <c r="S255" s="495"/>
      <c r="T255" s="495"/>
      <c r="U255" s="495"/>
      <c r="V255" s="495"/>
      <c r="W255" s="495"/>
      <c r="X255" s="495"/>
      <c r="Y255" s="495"/>
      <c r="Z255" s="495"/>
      <c r="AA255" s="495"/>
      <c r="AB255" s="495"/>
      <c r="AC255" s="495"/>
      <c r="AD255" s="495"/>
      <c r="AE255" s="495"/>
      <c r="AF255" s="495"/>
      <c r="AG255" s="495"/>
      <c r="AH255" s="495"/>
      <c r="AI255" s="495"/>
      <c r="AJ255" s="495"/>
      <c r="AK255" s="495"/>
      <c r="AL255" s="495"/>
      <c r="AM255" s="495"/>
      <c r="AN255" s="495"/>
      <c r="AO255" s="495"/>
    </row>
    <row r="256" spans="1:41" ht="12">
      <c r="A256" s="495"/>
      <c r="B256" s="495"/>
      <c r="C256" s="495"/>
      <c r="D256" s="495"/>
      <c r="E256" s="495"/>
      <c r="F256" s="495"/>
      <c r="G256" s="495"/>
      <c r="H256" s="495"/>
      <c r="I256" s="495"/>
      <c r="J256" s="495"/>
      <c r="K256" s="495"/>
      <c r="L256" s="495"/>
      <c r="M256" s="495"/>
      <c r="N256" s="495"/>
      <c r="O256" s="495"/>
      <c r="P256" s="495"/>
      <c r="Q256" s="495"/>
      <c r="R256" s="495"/>
      <c r="S256" s="495"/>
      <c r="T256" s="495"/>
      <c r="U256" s="495"/>
      <c r="V256" s="495"/>
      <c r="W256" s="495"/>
      <c r="X256" s="495"/>
      <c r="Y256" s="495"/>
      <c r="Z256" s="495"/>
      <c r="AA256" s="495"/>
      <c r="AB256" s="495"/>
      <c r="AC256" s="495"/>
      <c r="AD256" s="495"/>
      <c r="AE256" s="495"/>
      <c r="AF256" s="495"/>
      <c r="AG256" s="495"/>
      <c r="AH256" s="495"/>
      <c r="AI256" s="495"/>
      <c r="AJ256" s="495"/>
      <c r="AK256" s="495"/>
      <c r="AL256" s="495"/>
      <c r="AM256" s="495"/>
      <c r="AN256" s="495"/>
      <c r="AO256" s="495"/>
    </row>
    <row r="257" spans="1:41" ht="12">
      <c r="A257" s="495"/>
      <c r="B257" s="495"/>
      <c r="C257" s="495"/>
      <c r="D257" s="495"/>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5"/>
      <c r="AH257" s="495"/>
      <c r="AI257" s="495"/>
      <c r="AJ257" s="495"/>
      <c r="AK257" s="495"/>
      <c r="AL257" s="495"/>
      <c r="AM257" s="495"/>
      <c r="AN257" s="495"/>
      <c r="AO257" s="495"/>
    </row>
    <row r="258" spans="1:41" ht="12">
      <c r="A258" s="495"/>
      <c r="B258" s="495"/>
      <c r="C258" s="495"/>
      <c r="D258" s="495"/>
      <c r="E258" s="495"/>
      <c r="F258" s="495"/>
      <c r="G258" s="495"/>
      <c r="H258" s="495"/>
      <c r="I258" s="495"/>
      <c r="J258" s="495"/>
      <c r="K258" s="495"/>
      <c r="L258" s="495"/>
      <c r="M258" s="495"/>
      <c r="N258" s="495"/>
      <c r="O258" s="495"/>
      <c r="P258" s="495"/>
      <c r="Q258" s="495"/>
      <c r="R258" s="495"/>
      <c r="S258" s="495"/>
      <c r="T258" s="495"/>
      <c r="U258" s="495"/>
      <c r="V258" s="495"/>
      <c r="W258" s="495"/>
      <c r="X258" s="495"/>
      <c r="Y258" s="495"/>
      <c r="Z258" s="495"/>
      <c r="AA258" s="495"/>
      <c r="AB258" s="495"/>
      <c r="AC258" s="495"/>
      <c r="AD258" s="495"/>
      <c r="AE258" s="495"/>
      <c r="AF258" s="495"/>
      <c r="AG258" s="495"/>
      <c r="AH258" s="495"/>
      <c r="AI258" s="495"/>
      <c r="AJ258" s="495"/>
      <c r="AK258" s="495"/>
      <c r="AL258" s="495"/>
      <c r="AM258" s="495"/>
      <c r="AN258" s="495"/>
      <c r="AO258" s="495"/>
    </row>
    <row r="259" spans="1:41" ht="12">
      <c r="A259" s="495"/>
      <c r="B259" s="495"/>
      <c r="C259" s="495"/>
      <c r="D259" s="495"/>
      <c r="E259" s="495"/>
      <c r="F259" s="495"/>
      <c r="G259" s="495"/>
      <c r="H259" s="495"/>
      <c r="I259" s="495"/>
      <c r="J259" s="495"/>
      <c r="K259" s="495"/>
      <c r="L259" s="495"/>
      <c r="M259" s="495"/>
      <c r="N259" s="495"/>
      <c r="O259" s="495"/>
      <c r="P259" s="495"/>
      <c r="Q259" s="495"/>
      <c r="R259" s="495"/>
      <c r="S259" s="495"/>
      <c r="T259" s="495"/>
      <c r="U259" s="495"/>
      <c r="V259" s="495"/>
      <c r="W259" s="495"/>
      <c r="X259" s="495"/>
      <c r="Y259" s="495"/>
      <c r="Z259" s="495"/>
      <c r="AA259" s="495"/>
      <c r="AB259" s="495"/>
      <c r="AC259" s="495"/>
      <c r="AD259" s="495"/>
      <c r="AE259" s="495"/>
      <c r="AF259" s="495"/>
      <c r="AG259" s="495"/>
      <c r="AH259" s="495"/>
      <c r="AI259" s="495"/>
      <c r="AJ259" s="495"/>
      <c r="AK259" s="495"/>
      <c r="AL259" s="495"/>
      <c r="AM259" s="495"/>
      <c r="AN259" s="495"/>
      <c r="AO259" s="495"/>
    </row>
    <row r="260" spans="1:41" ht="12">
      <c r="A260" s="495"/>
      <c r="B260" s="495"/>
      <c r="C260" s="495"/>
      <c r="D260" s="495"/>
      <c r="E260" s="495"/>
      <c r="F260" s="495"/>
      <c r="G260" s="495"/>
      <c r="H260" s="495"/>
      <c r="I260" s="495"/>
      <c r="J260" s="495"/>
      <c r="K260" s="495"/>
      <c r="L260" s="495"/>
      <c r="M260" s="495"/>
      <c r="N260" s="495"/>
      <c r="O260" s="495"/>
      <c r="P260" s="495"/>
      <c r="Q260" s="495"/>
      <c r="R260" s="495"/>
      <c r="S260" s="495"/>
      <c r="T260" s="495"/>
      <c r="U260" s="495"/>
      <c r="V260" s="495"/>
      <c r="W260" s="495"/>
      <c r="X260" s="495"/>
      <c r="Y260" s="495"/>
      <c r="Z260" s="495"/>
      <c r="AA260" s="495"/>
      <c r="AB260" s="495"/>
      <c r="AC260" s="495"/>
      <c r="AD260" s="495"/>
      <c r="AE260" s="495"/>
      <c r="AF260" s="495"/>
      <c r="AG260" s="495"/>
      <c r="AH260" s="495"/>
      <c r="AI260" s="495"/>
      <c r="AJ260" s="495"/>
      <c r="AK260" s="495"/>
      <c r="AL260" s="495"/>
      <c r="AM260" s="495"/>
      <c r="AN260" s="495"/>
      <c r="AO260" s="495"/>
    </row>
    <row r="261" spans="1:41" ht="12">
      <c r="A261" s="495"/>
      <c r="B261" s="495"/>
      <c r="C261" s="495"/>
      <c r="D261" s="495"/>
      <c r="E261" s="495"/>
      <c r="F261" s="495"/>
      <c r="G261" s="495"/>
      <c r="H261" s="495"/>
      <c r="I261" s="495"/>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c r="AG261" s="495"/>
      <c r="AH261" s="495"/>
      <c r="AI261" s="495"/>
      <c r="AJ261" s="495"/>
      <c r="AK261" s="495"/>
      <c r="AL261" s="495"/>
      <c r="AM261" s="495"/>
      <c r="AN261" s="495"/>
      <c r="AO261" s="495"/>
    </row>
    <row r="262" spans="1:41" ht="12">
      <c r="A262" s="495"/>
      <c r="B262" s="495"/>
      <c r="C262" s="495"/>
      <c r="D262" s="495"/>
      <c r="E262" s="495"/>
      <c r="F262" s="495"/>
      <c r="G262" s="495"/>
      <c r="H262" s="495"/>
      <c r="I262" s="495"/>
      <c r="J262" s="495"/>
      <c r="K262" s="495"/>
      <c r="L262" s="495"/>
      <c r="M262" s="495"/>
      <c r="N262" s="495"/>
      <c r="O262" s="495"/>
      <c r="P262" s="495"/>
      <c r="Q262" s="495"/>
      <c r="R262" s="495"/>
      <c r="S262" s="495"/>
      <c r="T262" s="495"/>
      <c r="U262" s="495"/>
      <c r="V262" s="495"/>
      <c r="W262" s="495"/>
      <c r="X262" s="495"/>
      <c r="Y262" s="495"/>
      <c r="Z262" s="495"/>
      <c r="AA262" s="495"/>
      <c r="AB262" s="495"/>
      <c r="AC262" s="495"/>
      <c r="AD262" s="495"/>
      <c r="AE262" s="495"/>
      <c r="AF262" s="495"/>
      <c r="AG262" s="495"/>
      <c r="AH262" s="495"/>
      <c r="AI262" s="495"/>
      <c r="AJ262" s="495"/>
      <c r="AK262" s="495"/>
      <c r="AL262" s="495"/>
      <c r="AM262" s="495"/>
      <c r="AN262" s="495"/>
      <c r="AO262" s="495"/>
    </row>
    <row r="263" spans="1:41" ht="12">
      <c r="A263" s="495"/>
      <c r="B263" s="495"/>
      <c r="C263" s="495"/>
      <c r="D263" s="495"/>
      <c r="E263" s="495"/>
      <c r="F263" s="495"/>
      <c r="G263" s="495"/>
      <c r="H263" s="495"/>
      <c r="I263" s="495"/>
      <c r="J263" s="495"/>
      <c r="K263" s="495"/>
      <c r="L263" s="495"/>
      <c r="M263" s="495"/>
      <c r="N263" s="495"/>
      <c r="O263" s="495"/>
      <c r="P263" s="495"/>
      <c r="Q263" s="495"/>
      <c r="R263" s="495"/>
      <c r="S263" s="495"/>
      <c r="T263" s="495"/>
      <c r="U263" s="495"/>
      <c r="V263" s="495"/>
      <c r="W263" s="495"/>
      <c r="X263" s="495"/>
      <c r="Y263" s="495"/>
      <c r="Z263" s="495"/>
      <c r="AA263" s="495"/>
      <c r="AB263" s="495"/>
      <c r="AC263" s="495"/>
      <c r="AD263" s="495"/>
      <c r="AE263" s="495"/>
      <c r="AF263" s="495"/>
      <c r="AG263" s="495"/>
      <c r="AH263" s="495"/>
      <c r="AI263" s="495"/>
      <c r="AJ263" s="495"/>
      <c r="AK263" s="495"/>
      <c r="AL263" s="495"/>
      <c r="AM263" s="495"/>
      <c r="AN263" s="495"/>
      <c r="AO263" s="495"/>
    </row>
    <row r="264" spans="1:41" ht="12">
      <c r="A264" s="495"/>
      <c r="B264" s="495"/>
      <c r="C264" s="495"/>
      <c r="D264" s="495"/>
      <c r="E264" s="495"/>
      <c r="F264" s="495"/>
      <c r="G264" s="495"/>
      <c r="H264" s="495"/>
      <c r="I264" s="495"/>
      <c r="J264" s="495"/>
      <c r="K264" s="495"/>
      <c r="L264" s="495"/>
      <c r="M264" s="495"/>
      <c r="N264" s="495"/>
      <c r="O264" s="495"/>
      <c r="P264" s="495"/>
      <c r="Q264" s="495"/>
      <c r="R264" s="495"/>
      <c r="S264" s="495"/>
      <c r="T264" s="495"/>
      <c r="U264" s="495"/>
      <c r="V264" s="495"/>
      <c r="W264" s="495"/>
      <c r="X264" s="495"/>
      <c r="Y264" s="495"/>
      <c r="Z264" s="495"/>
      <c r="AA264" s="495"/>
      <c r="AB264" s="495"/>
      <c r="AC264" s="495"/>
      <c r="AD264" s="495"/>
      <c r="AE264" s="495"/>
      <c r="AF264" s="495"/>
      <c r="AG264" s="495"/>
      <c r="AH264" s="495"/>
      <c r="AI264" s="495"/>
      <c r="AJ264" s="495"/>
      <c r="AK264" s="495"/>
      <c r="AL264" s="495"/>
      <c r="AM264" s="495"/>
      <c r="AN264" s="495"/>
      <c r="AO264" s="495"/>
    </row>
    <row r="265" spans="1:41" ht="12">
      <c r="A265" s="495"/>
      <c r="B265" s="495"/>
      <c r="C265" s="495"/>
      <c r="D265" s="495"/>
      <c r="E265" s="495"/>
      <c r="F265" s="495"/>
      <c r="G265" s="495"/>
      <c r="H265" s="495"/>
      <c r="I265" s="495"/>
      <c r="J265" s="495"/>
      <c r="K265" s="495"/>
      <c r="L265" s="495"/>
      <c r="M265" s="495"/>
      <c r="N265" s="495"/>
      <c r="O265" s="495"/>
      <c r="P265" s="495"/>
      <c r="Q265" s="495"/>
      <c r="R265" s="495"/>
      <c r="S265" s="495"/>
      <c r="T265" s="495"/>
      <c r="U265" s="495"/>
      <c r="V265" s="495"/>
      <c r="W265" s="495"/>
      <c r="X265" s="495"/>
      <c r="Y265" s="495"/>
      <c r="Z265" s="495"/>
      <c r="AA265" s="495"/>
      <c r="AB265" s="495"/>
      <c r="AC265" s="495"/>
      <c r="AD265" s="495"/>
      <c r="AE265" s="495"/>
      <c r="AF265" s="495"/>
      <c r="AG265" s="495"/>
      <c r="AH265" s="495"/>
      <c r="AI265" s="495"/>
      <c r="AJ265" s="495"/>
      <c r="AK265" s="495"/>
      <c r="AL265" s="495"/>
      <c r="AM265" s="495"/>
      <c r="AN265" s="495"/>
      <c r="AO265" s="495"/>
    </row>
    <row r="266" spans="1:41" ht="12">
      <c r="A266" s="495"/>
      <c r="B266" s="495"/>
      <c r="C266" s="495"/>
      <c r="D266" s="495"/>
      <c r="E266" s="495"/>
      <c r="F266" s="495"/>
      <c r="G266" s="495"/>
      <c r="H266" s="495"/>
      <c r="I266" s="495"/>
      <c r="J266" s="495"/>
      <c r="K266" s="495"/>
      <c r="L266" s="495"/>
      <c r="M266" s="495"/>
      <c r="N266" s="495"/>
      <c r="O266" s="495"/>
      <c r="P266" s="495"/>
      <c r="Q266" s="495"/>
      <c r="R266" s="495"/>
      <c r="S266" s="495"/>
      <c r="T266" s="495"/>
      <c r="U266" s="495"/>
      <c r="V266" s="495"/>
      <c r="W266" s="495"/>
      <c r="X266" s="495"/>
      <c r="Y266" s="495"/>
      <c r="Z266" s="495"/>
      <c r="AA266" s="495"/>
      <c r="AB266" s="495"/>
      <c r="AC266" s="495"/>
      <c r="AD266" s="495"/>
      <c r="AE266" s="495"/>
      <c r="AF266" s="495"/>
      <c r="AG266" s="495"/>
      <c r="AH266" s="495"/>
      <c r="AI266" s="495"/>
      <c r="AJ266" s="495"/>
      <c r="AK266" s="495"/>
      <c r="AL266" s="495"/>
      <c r="AM266" s="495"/>
      <c r="AN266" s="495"/>
      <c r="AO266" s="495"/>
    </row>
    <row r="267" spans="1:41" ht="12">
      <c r="A267" s="495"/>
      <c r="B267" s="495"/>
      <c r="C267" s="495"/>
      <c r="D267" s="495"/>
      <c r="E267" s="495"/>
      <c r="F267" s="495"/>
      <c r="G267" s="495"/>
      <c r="H267" s="495"/>
      <c r="I267" s="495"/>
      <c r="J267" s="495"/>
      <c r="K267" s="495"/>
      <c r="L267" s="495"/>
      <c r="M267" s="495"/>
      <c r="N267" s="495"/>
      <c r="O267" s="495"/>
      <c r="P267" s="495"/>
      <c r="Q267" s="495"/>
      <c r="R267" s="495"/>
      <c r="S267" s="495"/>
      <c r="T267" s="495"/>
      <c r="U267" s="495"/>
      <c r="V267" s="495"/>
      <c r="W267" s="495"/>
      <c r="X267" s="495"/>
      <c r="Y267" s="495"/>
      <c r="Z267" s="495"/>
      <c r="AA267" s="495"/>
      <c r="AB267" s="495"/>
      <c r="AC267" s="495"/>
      <c r="AD267" s="495"/>
      <c r="AE267" s="495"/>
      <c r="AF267" s="495"/>
      <c r="AG267" s="495"/>
      <c r="AH267" s="495"/>
      <c r="AI267" s="495"/>
      <c r="AJ267" s="495"/>
      <c r="AK267" s="495"/>
      <c r="AL267" s="495"/>
      <c r="AM267" s="495"/>
      <c r="AN267" s="495"/>
      <c r="AO267" s="495"/>
    </row>
    <row r="268" spans="1:41" ht="12">
      <c r="A268" s="495"/>
      <c r="B268" s="495"/>
      <c r="C268" s="495"/>
      <c r="D268" s="495"/>
      <c r="E268" s="495"/>
      <c r="F268" s="495"/>
      <c r="G268" s="495"/>
      <c r="H268" s="495"/>
      <c r="I268" s="495"/>
      <c r="J268" s="495"/>
      <c r="K268" s="495"/>
      <c r="L268" s="495"/>
      <c r="M268" s="495"/>
      <c r="N268" s="495"/>
      <c r="O268" s="495"/>
      <c r="P268" s="495"/>
      <c r="Q268" s="495"/>
      <c r="R268" s="495"/>
      <c r="S268" s="495"/>
      <c r="T268" s="495"/>
      <c r="U268" s="495"/>
      <c r="V268" s="495"/>
      <c r="W268" s="495"/>
      <c r="X268" s="495"/>
      <c r="Y268" s="495"/>
      <c r="Z268" s="495"/>
      <c r="AA268" s="495"/>
      <c r="AB268" s="495"/>
      <c r="AC268" s="495"/>
      <c r="AD268" s="495"/>
      <c r="AE268" s="495"/>
      <c r="AF268" s="495"/>
      <c r="AG268" s="495"/>
      <c r="AH268" s="495"/>
      <c r="AI268" s="495"/>
      <c r="AJ268" s="495"/>
      <c r="AK268" s="495"/>
      <c r="AL268" s="495"/>
      <c r="AM268" s="495"/>
      <c r="AN268" s="495"/>
      <c r="AO268" s="495"/>
    </row>
    <row r="269" spans="1:41" ht="12">
      <c r="A269" s="495"/>
      <c r="B269" s="495"/>
      <c r="C269" s="495"/>
      <c r="D269" s="495"/>
      <c r="E269" s="495"/>
      <c r="F269" s="495"/>
      <c r="G269" s="495"/>
      <c r="H269" s="495"/>
      <c r="I269" s="495"/>
      <c r="J269" s="495"/>
      <c r="K269" s="495"/>
      <c r="L269" s="495"/>
      <c r="M269" s="495"/>
      <c r="N269" s="495"/>
      <c r="O269" s="495"/>
      <c r="P269" s="495"/>
      <c r="Q269" s="495"/>
      <c r="R269" s="495"/>
      <c r="S269" s="495"/>
      <c r="T269" s="495"/>
      <c r="U269" s="495"/>
      <c r="V269" s="495"/>
      <c r="W269" s="495"/>
      <c r="X269" s="495"/>
      <c r="Y269" s="495"/>
      <c r="Z269" s="495"/>
      <c r="AA269" s="495"/>
      <c r="AB269" s="495"/>
      <c r="AC269" s="495"/>
      <c r="AD269" s="495"/>
      <c r="AE269" s="495"/>
      <c r="AF269" s="495"/>
      <c r="AG269" s="495"/>
      <c r="AH269" s="495"/>
      <c r="AI269" s="495"/>
      <c r="AJ269" s="495"/>
      <c r="AK269" s="495"/>
      <c r="AL269" s="495"/>
      <c r="AM269" s="495"/>
      <c r="AN269" s="495"/>
      <c r="AO269" s="495"/>
    </row>
    <row r="270" spans="1:41" ht="12">
      <c r="A270" s="495"/>
      <c r="B270" s="495"/>
      <c r="C270" s="495"/>
      <c r="D270" s="495"/>
      <c r="E270" s="495"/>
      <c r="F270" s="495"/>
      <c r="G270" s="495"/>
      <c r="H270" s="495"/>
      <c r="I270" s="495"/>
      <c r="J270" s="495"/>
      <c r="K270" s="495"/>
      <c r="L270" s="495"/>
      <c r="M270" s="495"/>
      <c r="N270" s="495"/>
      <c r="O270" s="495"/>
      <c r="P270" s="495"/>
      <c r="Q270" s="495"/>
      <c r="R270" s="495"/>
      <c r="S270" s="495"/>
      <c r="T270" s="495"/>
      <c r="U270" s="495"/>
      <c r="V270" s="495"/>
      <c r="W270" s="495"/>
      <c r="X270" s="495"/>
      <c r="Y270" s="495"/>
      <c r="Z270" s="495"/>
      <c r="AA270" s="495"/>
      <c r="AB270" s="495"/>
      <c r="AC270" s="495"/>
      <c r="AD270" s="495"/>
      <c r="AE270" s="495"/>
      <c r="AF270" s="495"/>
      <c r="AG270" s="495"/>
      <c r="AH270" s="495"/>
      <c r="AI270" s="495"/>
      <c r="AJ270" s="495"/>
      <c r="AK270" s="495"/>
      <c r="AL270" s="495"/>
      <c r="AM270" s="495"/>
      <c r="AN270" s="495"/>
      <c r="AO270" s="495"/>
    </row>
    <row r="271" spans="1:41" ht="12">
      <c r="A271" s="495"/>
      <c r="B271" s="495"/>
      <c r="C271" s="495"/>
      <c r="D271" s="495"/>
      <c r="E271" s="495"/>
      <c r="F271" s="495"/>
      <c r="G271" s="495"/>
      <c r="H271" s="495"/>
      <c r="I271" s="495"/>
      <c r="J271" s="495"/>
      <c r="K271" s="495"/>
      <c r="L271" s="495"/>
      <c r="M271" s="495"/>
      <c r="N271" s="495"/>
      <c r="O271" s="495"/>
      <c r="P271" s="495"/>
      <c r="Q271" s="495"/>
      <c r="R271" s="495"/>
      <c r="S271" s="495"/>
      <c r="T271" s="495"/>
      <c r="U271" s="495"/>
      <c r="V271" s="495"/>
      <c r="W271" s="495"/>
      <c r="X271" s="495"/>
      <c r="Y271" s="495"/>
      <c r="Z271" s="495"/>
      <c r="AA271" s="495"/>
      <c r="AB271" s="495"/>
      <c r="AC271" s="495"/>
      <c r="AD271" s="495"/>
      <c r="AE271" s="495"/>
      <c r="AF271" s="495"/>
      <c r="AG271" s="495"/>
      <c r="AH271" s="495"/>
      <c r="AI271" s="495"/>
      <c r="AJ271" s="495"/>
      <c r="AK271" s="495"/>
      <c r="AL271" s="495"/>
      <c r="AM271" s="495"/>
      <c r="AN271" s="495"/>
      <c r="AO271" s="495"/>
    </row>
    <row r="272" spans="1:41" ht="12">
      <c r="A272" s="495"/>
      <c r="B272" s="495"/>
      <c r="C272" s="495"/>
      <c r="D272" s="495"/>
      <c r="E272" s="495"/>
      <c r="F272" s="495"/>
      <c r="G272" s="495"/>
      <c r="H272" s="495"/>
      <c r="I272" s="495"/>
      <c r="J272" s="495"/>
      <c r="K272" s="495"/>
      <c r="L272" s="495"/>
      <c r="M272" s="495"/>
      <c r="N272" s="495"/>
      <c r="O272" s="495"/>
      <c r="P272" s="495"/>
      <c r="Q272" s="495"/>
      <c r="R272" s="495"/>
      <c r="S272" s="495"/>
      <c r="T272" s="495"/>
      <c r="U272" s="495"/>
      <c r="V272" s="495"/>
      <c r="W272" s="495"/>
      <c r="X272" s="495"/>
      <c r="Y272" s="495"/>
      <c r="Z272" s="495"/>
      <c r="AA272" s="495"/>
      <c r="AB272" s="495"/>
      <c r="AC272" s="495"/>
      <c r="AD272" s="495"/>
      <c r="AE272" s="495"/>
      <c r="AF272" s="495"/>
      <c r="AG272" s="495"/>
      <c r="AH272" s="495"/>
      <c r="AI272" s="495"/>
      <c r="AJ272" s="495"/>
      <c r="AK272" s="495"/>
      <c r="AL272" s="495"/>
      <c r="AM272" s="495"/>
      <c r="AN272" s="495"/>
      <c r="AO272" s="495"/>
    </row>
    <row r="273" spans="1:41" ht="12">
      <c r="A273" s="495"/>
      <c r="B273" s="495"/>
      <c r="C273" s="495"/>
      <c r="D273" s="495"/>
      <c r="E273" s="495"/>
      <c r="F273" s="495"/>
      <c r="G273" s="495"/>
      <c r="H273" s="495"/>
      <c r="I273" s="495"/>
      <c r="J273" s="495"/>
      <c r="K273" s="495"/>
      <c r="L273" s="495"/>
      <c r="M273" s="495"/>
      <c r="N273" s="495"/>
      <c r="O273" s="495"/>
      <c r="P273" s="495"/>
      <c r="Q273" s="495"/>
      <c r="R273" s="495"/>
      <c r="S273" s="495"/>
      <c r="T273" s="495"/>
      <c r="U273" s="495"/>
      <c r="V273" s="495"/>
      <c r="W273" s="495"/>
      <c r="X273" s="495"/>
      <c r="Y273" s="495"/>
      <c r="Z273" s="495"/>
      <c r="AA273" s="495"/>
      <c r="AB273" s="495"/>
      <c r="AC273" s="495"/>
      <c r="AD273" s="495"/>
      <c r="AE273" s="495"/>
      <c r="AF273" s="495"/>
      <c r="AG273" s="495"/>
      <c r="AH273" s="495"/>
      <c r="AI273" s="495"/>
      <c r="AJ273" s="495"/>
      <c r="AK273" s="495"/>
      <c r="AL273" s="495"/>
      <c r="AM273" s="495"/>
      <c r="AN273" s="495"/>
      <c r="AO273" s="495"/>
    </row>
    <row r="274" spans="1:41" ht="12">
      <c r="A274" s="495"/>
      <c r="B274" s="495"/>
      <c r="C274" s="495"/>
      <c r="D274" s="495"/>
      <c r="E274" s="495"/>
      <c r="F274" s="495"/>
      <c r="G274" s="495"/>
      <c r="H274" s="495"/>
      <c r="I274" s="495"/>
      <c r="J274" s="495"/>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5"/>
      <c r="AG274" s="495"/>
      <c r="AH274" s="495"/>
      <c r="AI274" s="495"/>
      <c r="AJ274" s="495"/>
      <c r="AK274" s="495"/>
      <c r="AL274" s="495"/>
      <c r="AM274" s="495"/>
      <c r="AN274" s="495"/>
      <c r="AO274" s="495"/>
    </row>
    <row r="275" spans="1:41" ht="12">
      <c r="A275" s="495"/>
      <c r="B275" s="495"/>
      <c r="C275" s="495"/>
      <c r="D275" s="495"/>
      <c r="E275" s="495"/>
      <c r="F275" s="495"/>
      <c r="G275" s="495"/>
      <c r="H275" s="495"/>
      <c r="I275" s="495"/>
      <c r="J275" s="495"/>
      <c r="K275" s="495"/>
      <c r="L275" s="495"/>
      <c r="M275" s="495"/>
      <c r="N275" s="495"/>
      <c r="O275" s="495"/>
      <c r="P275" s="495"/>
      <c r="Q275" s="495"/>
      <c r="R275" s="495"/>
      <c r="S275" s="495"/>
      <c r="T275" s="495"/>
      <c r="U275" s="495"/>
      <c r="V275" s="495"/>
      <c r="W275" s="495"/>
      <c r="X275" s="495"/>
      <c r="Y275" s="495"/>
      <c r="Z275" s="495"/>
      <c r="AA275" s="495"/>
      <c r="AB275" s="495"/>
      <c r="AC275" s="495"/>
      <c r="AD275" s="495"/>
      <c r="AE275" s="495"/>
      <c r="AF275" s="495"/>
      <c r="AG275" s="495"/>
      <c r="AH275" s="495"/>
      <c r="AI275" s="495"/>
      <c r="AJ275" s="495"/>
      <c r="AK275" s="495"/>
      <c r="AL275" s="495"/>
      <c r="AM275" s="495"/>
      <c r="AN275" s="495"/>
      <c r="AO275" s="495"/>
    </row>
    <row r="276" spans="1:41" ht="12">
      <c r="A276" s="495"/>
      <c r="B276" s="495"/>
      <c r="C276" s="495"/>
      <c r="D276" s="495"/>
      <c r="E276" s="495"/>
      <c r="F276" s="495"/>
      <c r="G276" s="495"/>
      <c r="H276" s="495"/>
      <c r="I276" s="495"/>
      <c r="J276" s="495"/>
      <c r="K276" s="495"/>
      <c r="L276" s="495"/>
      <c r="M276" s="495"/>
      <c r="N276" s="495"/>
      <c r="O276" s="495"/>
      <c r="P276" s="495"/>
      <c r="Q276" s="495"/>
      <c r="R276" s="495"/>
      <c r="S276" s="495"/>
      <c r="T276" s="495"/>
      <c r="U276" s="495"/>
      <c r="V276" s="495"/>
      <c r="W276" s="495"/>
      <c r="X276" s="495"/>
      <c r="Y276" s="495"/>
      <c r="Z276" s="495"/>
      <c r="AA276" s="495"/>
      <c r="AB276" s="495"/>
      <c r="AC276" s="495"/>
      <c r="AD276" s="495"/>
      <c r="AE276" s="495"/>
      <c r="AF276" s="495"/>
      <c r="AG276" s="495"/>
      <c r="AH276" s="495"/>
      <c r="AI276" s="495"/>
      <c r="AJ276" s="495"/>
      <c r="AK276" s="495"/>
      <c r="AL276" s="495"/>
      <c r="AM276" s="495"/>
      <c r="AN276" s="495"/>
      <c r="AO276" s="495"/>
    </row>
    <row r="277" spans="1:41" ht="12">
      <c r="A277" s="495"/>
      <c r="B277" s="495"/>
      <c r="C277" s="495"/>
      <c r="D277" s="495"/>
      <c r="E277" s="495"/>
      <c r="F277" s="495"/>
      <c r="G277" s="495"/>
      <c r="H277" s="495"/>
      <c r="I277" s="495"/>
      <c r="J277" s="495"/>
      <c r="K277" s="495"/>
      <c r="L277" s="495"/>
      <c r="M277" s="495"/>
      <c r="N277" s="495"/>
      <c r="O277" s="495"/>
      <c r="P277" s="495"/>
      <c r="Q277" s="495"/>
      <c r="R277" s="495"/>
      <c r="S277" s="495"/>
      <c r="T277" s="495"/>
      <c r="U277" s="495"/>
      <c r="V277" s="495"/>
      <c r="W277" s="495"/>
      <c r="X277" s="495"/>
      <c r="Y277" s="495"/>
      <c r="Z277" s="495"/>
      <c r="AA277" s="495"/>
      <c r="AB277" s="495"/>
      <c r="AC277" s="495"/>
      <c r="AD277" s="495"/>
      <c r="AE277" s="495"/>
      <c r="AF277" s="495"/>
      <c r="AG277" s="495"/>
      <c r="AH277" s="495"/>
      <c r="AI277" s="495"/>
      <c r="AJ277" s="495"/>
      <c r="AK277" s="495"/>
      <c r="AL277" s="495"/>
      <c r="AM277" s="495"/>
      <c r="AN277" s="495"/>
      <c r="AO277" s="495"/>
    </row>
    <row r="278" spans="1:41" ht="12">
      <c r="A278" s="495"/>
      <c r="B278" s="495"/>
      <c r="C278" s="495"/>
      <c r="D278" s="495"/>
      <c r="E278" s="495"/>
      <c r="F278" s="495"/>
      <c r="G278" s="495"/>
      <c r="H278" s="495"/>
      <c r="I278" s="495"/>
      <c r="J278" s="495"/>
      <c r="K278" s="495"/>
      <c r="L278" s="495"/>
      <c r="M278" s="495"/>
      <c r="N278" s="495"/>
      <c r="O278" s="495"/>
      <c r="P278" s="495"/>
      <c r="Q278" s="495"/>
      <c r="R278" s="495"/>
      <c r="S278" s="495"/>
      <c r="T278" s="495"/>
      <c r="U278" s="495"/>
      <c r="V278" s="495"/>
      <c r="W278" s="495"/>
      <c r="X278" s="495"/>
      <c r="Y278" s="495"/>
      <c r="Z278" s="495"/>
      <c r="AA278" s="495"/>
      <c r="AB278" s="495"/>
      <c r="AC278" s="495"/>
      <c r="AD278" s="495"/>
      <c r="AE278" s="495"/>
      <c r="AF278" s="495"/>
      <c r="AG278" s="495"/>
      <c r="AH278" s="495"/>
      <c r="AI278" s="495"/>
      <c r="AJ278" s="495"/>
      <c r="AK278" s="495"/>
      <c r="AL278" s="495"/>
      <c r="AM278" s="495"/>
      <c r="AN278" s="495"/>
      <c r="AO278" s="495"/>
    </row>
    <row r="279" spans="1:41" ht="12">
      <c r="A279" s="495"/>
      <c r="B279" s="495"/>
      <c r="C279" s="495"/>
      <c r="D279" s="495"/>
      <c r="E279" s="495"/>
      <c r="F279" s="495"/>
      <c r="G279" s="495"/>
      <c r="H279" s="495"/>
      <c r="I279" s="495"/>
      <c r="J279" s="495"/>
      <c r="K279" s="495"/>
      <c r="L279" s="495"/>
      <c r="M279" s="495"/>
      <c r="N279" s="495"/>
      <c r="O279" s="495"/>
      <c r="P279" s="495"/>
      <c r="Q279" s="495"/>
      <c r="R279" s="495"/>
      <c r="S279" s="495"/>
      <c r="T279" s="495"/>
      <c r="U279" s="495"/>
      <c r="V279" s="495"/>
      <c r="W279" s="495"/>
      <c r="X279" s="495"/>
      <c r="Y279" s="495"/>
      <c r="Z279" s="495"/>
      <c r="AA279" s="495"/>
      <c r="AB279" s="495"/>
      <c r="AC279" s="495"/>
      <c r="AD279" s="495"/>
      <c r="AE279" s="495"/>
      <c r="AF279" s="495"/>
      <c r="AG279" s="495"/>
      <c r="AH279" s="495"/>
      <c r="AI279" s="495"/>
      <c r="AJ279" s="495"/>
      <c r="AK279" s="495"/>
      <c r="AL279" s="495"/>
      <c r="AM279" s="495"/>
      <c r="AN279" s="495"/>
      <c r="AO279" s="495"/>
    </row>
    <row r="280" spans="1:41" ht="12">
      <c r="A280" s="495"/>
      <c r="B280" s="495"/>
      <c r="C280" s="495"/>
      <c r="D280" s="495"/>
      <c r="E280" s="495"/>
      <c r="F280" s="495"/>
      <c r="G280" s="495"/>
      <c r="H280" s="495"/>
      <c r="I280" s="495"/>
      <c r="J280" s="495"/>
      <c r="K280" s="495"/>
      <c r="L280" s="495"/>
      <c r="M280" s="495"/>
      <c r="N280" s="495"/>
      <c r="O280" s="495"/>
      <c r="P280" s="495"/>
      <c r="Q280" s="495"/>
      <c r="R280" s="495"/>
      <c r="S280" s="495"/>
      <c r="T280" s="495"/>
      <c r="U280" s="495"/>
      <c r="V280" s="495"/>
      <c r="W280" s="495"/>
      <c r="X280" s="495"/>
      <c r="Y280" s="495"/>
      <c r="Z280" s="495"/>
      <c r="AA280" s="495"/>
      <c r="AB280" s="495"/>
      <c r="AC280" s="495"/>
      <c r="AD280" s="495"/>
      <c r="AE280" s="495"/>
      <c r="AF280" s="495"/>
      <c r="AG280" s="495"/>
      <c r="AH280" s="495"/>
      <c r="AI280" s="495"/>
      <c r="AJ280" s="495"/>
      <c r="AK280" s="495"/>
      <c r="AL280" s="495"/>
      <c r="AM280" s="495"/>
      <c r="AN280" s="495"/>
      <c r="AO280" s="495"/>
    </row>
    <row r="281" spans="1:41" ht="12">
      <c r="A281" s="495"/>
      <c r="B281" s="495"/>
      <c r="C281" s="495"/>
      <c r="D281" s="495"/>
      <c r="E281" s="495"/>
      <c r="F281" s="495"/>
      <c r="G281" s="495"/>
      <c r="H281" s="495"/>
      <c r="I281" s="495"/>
      <c r="J281" s="495"/>
      <c r="K281" s="495"/>
      <c r="L281" s="495"/>
      <c r="M281" s="495"/>
      <c r="N281" s="495"/>
      <c r="O281" s="495"/>
      <c r="P281" s="495"/>
      <c r="Q281" s="495"/>
      <c r="R281" s="495"/>
      <c r="S281" s="495"/>
      <c r="T281" s="495"/>
      <c r="U281" s="495"/>
      <c r="V281" s="495"/>
      <c r="W281" s="495"/>
      <c r="X281" s="495"/>
      <c r="Y281" s="495"/>
      <c r="Z281" s="495"/>
      <c r="AA281" s="495"/>
      <c r="AB281" s="495"/>
      <c r="AC281" s="495"/>
      <c r="AD281" s="495"/>
      <c r="AE281" s="495"/>
      <c r="AF281" s="495"/>
      <c r="AG281" s="495"/>
      <c r="AH281" s="495"/>
      <c r="AI281" s="495"/>
      <c r="AJ281" s="495"/>
      <c r="AK281" s="495"/>
      <c r="AL281" s="495"/>
      <c r="AM281" s="495"/>
      <c r="AN281" s="495"/>
      <c r="AO281" s="495"/>
    </row>
    <row r="282" spans="1:41" ht="12">
      <c r="A282" s="495"/>
      <c r="B282" s="495"/>
      <c r="C282" s="495"/>
      <c r="D282" s="495"/>
      <c r="E282" s="495"/>
      <c r="F282" s="495"/>
      <c r="G282" s="495"/>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c r="AG282" s="495"/>
      <c r="AH282" s="495"/>
      <c r="AI282" s="495"/>
      <c r="AJ282" s="495"/>
      <c r="AK282" s="495"/>
      <c r="AL282" s="495"/>
      <c r="AM282" s="495"/>
      <c r="AN282" s="495"/>
      <c r="AO282" s="495"/>
    </row>
    <row r="283" spans="1:41" ht="12">
      <c r="A283" s="495"/>
      <c r="B283" s="495"/>
      <c r="C283" s="495"/>
      <c r="D283" s="495"/>
      <c r="E283" s="495"/>
      <c r="F283" s="495"/>
      <c r="G283" s="495"/>
      <c r="H283" s="495"/>
      <c r="I283" s="495"/>
      <c r="J283" s="495"/>
      <c r="K283" s="495"/>
      <c r="L283" s="495"/>
      <c r="M283" s="495"/>
      <c r="N283" s="495"/>
      <c r="O283" s="495"/>
      <c r="P283" s="495"/>
      <c r="Q283" s="495"/>
      <c r="R283" s="495"/>
      <c r="S283" s="495"/>
      <c r="T283" s="495"/>
      <c r="U283" s="495"/>
      <c r="V283" s="495"/>
      <c r="W283" s="495"/>
      <c r="X283" s="495"/>
      <c r="Y283" s="495"/>
      <c r="Z283" s="495"/>
      <c r="AA283" s="495"/>
      <c r="AB283" s="495"/>
      <c r="AC283" s="495"/>
      <c r="AD283" s="495"/>
      <c r="AE283" s="495"/>
      <c r="AF283" s="495"/>
      <c r="AG283" s="495"/>
      <c r="AH283" s="495"/>
      <c r="AI283" s="495"/>
      <c r="AJ283" s="495"/>
      <c r="AK283" s="495"/>
      <c r="AL283" s="495"/>
      <c r="AM283" s="495"/>
      <c r="AN283" s="495"/>
      <c r="AO283" s="495"/>
    </row>
    <row r="284" spans="1:41" ht="12">
      <c r="A284" s="495"/>
      <c r="B284" s="495"/>
      <c r="C284" s="495"/>
      <c r="D284" s="495"/>
      <c r="E284" s="495"/>
      <c r="F284" s="495"/>
      <c r="G284" s="495"/>
      <c r="H284" s="495"/>
      <c r="I284" s="495"/>
      <c r="J284" s="495"/>
      <c r="K284" s="495"/>
      <c r="L284" s="495"/>
      <c r="M284" s="495"/>
      <c r="N284" s="495"/>
      <c r="O284" s="495"/>
      <c r="P284" s="495"/>
      <c r="Q284" s="495"/>
      <c r="R284" s="495"/>
      <c r="S284" s="495"/>
      <c r="T284" s="495"/>
      <c r="U284" s="495"/>
      <c r="V284" s="495"/>
      <c r="W284" s="495"/>
      <c r="X284" s="495"/>
      <c r="Y284" s="495"/>
      <c r="Z284" s="495"/>
      <c r="AA284" s="495"/>
      <c r="AB284" s="495"/>
      <c r="AC284" s="495"/>
      <c r="AD284" s="495"/>
      <c r="AE284" s="495"/>
      <c r="AF284" s="495"/>
      <c r="AG284" s="495"/>
      <c r="AH284" s="495"/>
      <c r="AI284" s="495"/>
      <c r="AJ284" s="495"/>
      <c r="AK284" s="495"/>
      <c r="AL284" s="495"/>
      <c r="AM284" s="495"/>
      <c r="AN284" s="495"/>
      <c r="AO284" s="495"/>
    </row>
    <row r="285" spans="1:41" ht="12">
      <c r="A285" s="495"/>
      <c r="B285" s="495"/>
      <c r="C285" s="495"/>
      <c r="D285" s="495"/>
      <c r="E285" s="495"/>
      <c r="F285" s="495"/>
      <c r="G285" s="495"/>
      <c r="H285" s="495"/>
      <c r="I285" s="495"/>
      <c r="J285" s="495"/>
      <c r="K285" s="495"/>
      <c r="L285" s="495"/>
      <c r="M285" s="495"/>
      <c r="N285" s="495"/>
      <c r="O285" s="495"/>
      <c r="P285" s="495"/>
      <c r="Q285" s="495"/>
      <c r="R285" s="495"/>
      <c r="S285" s="495"/>
      <c r="T285" s="495"/>
      <c r="U285" s="495"/>
      <c r="V285" s="495"/>
      <c r="W285" s="495"/>
      <c r="X285" s="495"/>
      <c r="Y285" s="495"/>
      <c r="Z285" s="495"/>
      <c r="AA285" s="495"/>
      <c r="AB285" s="495"/>
      <c r="AC285" s="495"/>
      <c r="AD285" s="495"/>
      <c r="AE285" s="495"/>
      <c r="AF285" s="495"/>
      <c r="AG285" s="495"/>
      <c r="AH285" s="495"/>
      <c r="AI285" s="495"/>
      <c r="AJ285" s="495"/>
      <c r="AK285" s="495"/>
      <c r="AL285" s="495"/>
      <c r="AM285" s="495"/>
      <c r="AN285" s="495"/>
      <c r="AO285" s="495"/>
    </row>
    <row r="286" spans="1:41" ht="12">
      <c r="A286" s="495"/>
      <c r="B286" s="495"/>
      <c r="C286" s="495"/>
      <c r="D286" s="495"/>
      <c r="E286" s="495"/>
      <c r="F286" s="495"/>
      <c r="G286" s="495"/>
      <c r="H286" s="495"/>
      <c r="I286" s="495"/>
      <c r="J286" s="495"/>
      <c r="K286" s="495"/>
      <c r="L286" s="495"/>
      <c r="M286" s="495"/>
      <c r="N286" s="495"/>
      <c r="O286" s="495"/>
      <c r="P286" s="495"/>
      <c r="Q286" s="495"/>
      <c r="R286" s="495"/>
      <c r="S286" s="495"/>
      <c r="T286" s="495"/>
      <c r="U286" s="495"/>
      <c r="V286" s="495"/>
      <c r="W286" s="495"/>
      <c r="X286" s="495"/>
      <c r="Y286" s="495"/>
      <c r="Z286" s="495"/>
      <c r="AA286" s="495"/>
      <c r="AB286" s="495"/>
      <c r="AC286" s="495"/>
      <c r="AD286" s="495"/>
      <c r="AE286" s="495"/>
      <c r="AF286" s="495"/>
      <c r="AG286" s="495"/>
      <c r="AH286" s="495"/>
      <c r="AI286" s="495"/>
      <c r="AJ286" s="495"/>
      <c r="AK286" s="495"/>
      <c r="AL286" s="495"/>
      <c r="AM286" s="495"/>
      <c r="AN286" s="495"/>
      <c r="AO286" s="495"/>
    </row>
    <row r="287" spans="1:41" ht="12">
      <c r="A287" s="495"/>
      <c r="B287" s="495"/>
      <c r="C287" s="495"/>
      <c r="D287" s="495"/>
      <c r="E287" s="495"/>
      <c r="F287" s="495"/>
      <c r="G287" s="495"/>
      <c r="H287" s="495"/>
      <c r="I287" s="495"/>
      <c r="J287" s="495"/>
      <c r="K287" s="495"/>
      <c r="L287" s="495"/>
      <c r="M287" s="495"/>
      <c r="N287" s="495"/>
      <c r="O287" s="495"/>
      <c r="P287" s="495"/>
      <c r="Q287" s="495"/>
      <c r="R287" s="495"/>
      <c r="S287" s="495"/>
      <c r="T287" s="495"/>
      <c r="U287" s="495"/>
      <c r="V287" s="495"/>
      <c r="W287" s="495"/>
      <c r="X287" s="495"/>
      <c r="Y287" s="495"/>
      <c r="Z287" s="495"/>
      <c r="AA287" s="495"/>
      <c r="AB287" s="495"/>
      <c r="AC287" s="495"/>
      <c r="AD287" s="495"/>
      <c r="AE287" s="495"/>
      <c r="AF287" s="495"/>
      <c r="AG287" s="495"/>
      <c r="AH287" s="495"/>
      <c r="AI287" s="495"/>
      <c r="AJ287" s="495"/>
      <c r="AK287" s="495"/>
      <c r="AL287" s="495"/>
      <c r="AM287" s="495"/>
      <c r="AN287" s="495"/>
      <c r="AO287" s="495"/>
    </row>
    <row r="288" spans="1:41" ht="12">
      <c r="A288" s="495"/>
      <c r="B288" s="495"/>
      <c r="C288" s="495"/>
      <c r="D288" s="495"/>
      <c r="E288" s="495"/>
      <c r="F288" s="495"/>
      <c r="G288" s="495"/>
      <c r="H288" s="495"/>
      <c r="I288" s="495"/>
      <c r="J288" s="495"/>
      <c r="K288" s="495"/>
      <c r="L288" s="495"/>
      <c r="M288" s="495"/>
      <c r="N288" s="495"/>
      <c r="O288" s="495"/>
      <c r="P288" s="495"/>
      <c r="Q288" s="495"/>
      <c r="R288" s="495"/>
      <c r="S288" s="495"/>
      <c r="T288" s="495"/>
      <c r="U288" s="495"/>
      <c r="V288" s="495"/>
      <c r="W288" s="495"/>
      <c r="X288" s="495"/>
      <c r="Y288" s="495"/>
      <c r="Z288" s="495"/>
      <c r="AA288" s="495"/>
      <c r="AB288" s="495"/>
      <c r="AC288" s="495"/>
      <c r="AD288" s="495"/>
      <c r="AE288" s="495"/>
      <c r="AF288" s="495"/>
      <c r="AG288" s="495"/>
      <c r="AH288" s="495"/>
      <c r="AI288" s="495"/>
      <c r="AJ288" s="495"/>
      <c r="AK288" s="495"/>
      <c r="AL288" s="495"/>
      <c r="AM288" s="495"/>
      <c r="AN288" s="495"/>
      <c r="AO288" s="495"/>
    </row>
    <row r="289" spans="1:41" ht="12">
      <c r="A289" s="495"/>
      <c r="B289" s="495"/>
      <c r="C289" s="495"/>
      <c r="D289" s="495"/>
      <c r="E289" s="495"/>
      <c r="F289" s="495"/>
      <c r="G289" s="495"/>
      <c r="H289" s="495"/>
      <c r="I289" s="495"/>
      <c r="J289" s="495"/>
      <c r="K289" s="495"/>
      <c r="L289" s="495"/>
      <c r="M289" s="495"/>
      <c r="N289" s="495"/>
      <c r="O289" s="495"/>
      <c r="P289" s="495"/>
      <c r="Q289" s="495"/>
      <c r="R289" s="495"/>
      <c r="S289" s="495"/>
      <c r="T289" s="495"/>
      <c r="U289" s="495"/>
      <c r="V289" s="495"/>
      <c r="W289" s="495"/>
      <c r="X289" s="495"/>
      <c r="Y289" s="495"/>
      <c r="Z289" s="495"/>
      <c r="AA289" s="495"/>
      <c r="AB289" s="495"/>
      <c r="AC289" s="495"/>
      <c r="AD289" s="495"/>
      <c r="AE289" s="495"/>
      <c r="AF289" s="495"/>
      <c r="AG289" s="495"/>
      <c r="AH289" s="495"/>
      <c r="AI289" s="495"/>
      <c r="AJ289" s="495"/>
      <c r="AK289" s="495"/>
      <c r="AL289" s="495"/>
      <c r="AM289" s="495"/>
      <c r="AN289" s="495"/>
      <c r="AO289" s="495"/>
    </row>
    <row r="290" spans="1:41" ht="12">
      <c r="A290" s="495"/>
      <c r="B290" s="495"/>
      <c r="C290" s="495"/>
      <c r="D290" s="495"/>
      <c r="E290" s="495"/>
      <c r="F290" s="495"/>
      <c r="G290" s="495"/>
      <c r="H290" s="495"/>
      <c r="I290" s="495"/>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c r="AG290" s="495"/>
      <c r="AH290" s="495"/>
      <c r="AI290" s="495"/>
      <c r="AJ290" s="495"/>
      <c r="AK290" s="495"/>
      <c r="AL290" s="495"/>
      <c r="AM290" s="495"/>
      <c r="AN290" s="495"/>
      <c r="AO290" s="495"/>
    </row>
    <row r="291" spans="1:41" ht="12">
      <c r="A291" s="495"/>
      <c r="B291" s="495"/>
      <c r="C291" s="495"/>
      <c r="D291" s="495"/>
      <c r="E291" s="495"/>
      <c r="F291" s="495"/>
      <c r="G291" s="495"/>
      <c r="H291" s="495"/>
      <c r="I291" s="495"/>
      <c r="J291" s="495"/>
      <c r="K291" s="495"/>
      <c r="L291" s="495"/>
      <c r="M291" s="495"/>
      <c r="N291" s="495"/>
      <c r="O291" s="495"/>
      <c r="P291" s="495"/>
      <c r="Q291" s="495"/>
      <c r="R291" s="495"/>
      <c r="S291" s="495"/>
      <c r="T291" s="495"/>
      <c r="U291" s="495"/>
      <c r="V291" s="495"/>
      <c r="W291" s="495"/>
      <c r="X291" s="495"/>
      <c r="Y291" s="495"/>
      <c r="Z291" s="495"/>
      <c r="AA291" s="495"/>
      <c r="AB291" s="495"/>
      <c r="AC291" s="495"/>
      <c r="AD291" s="495"/>
      <c r="AE291" s="495"/>
      <c r="AF291" s="495"/>
      <c r="AG291" s="495"/>
      <c r="AH291" s="495"/>
      <c r="AI291" s="495"/>
      <c r="AJ291" s="495"/>
      <c r="AK291" s="495"/>
      <c r="AL291" s="495"/>
      <c r="AM291" s="495"/>
      <c r="AN291" s="495"/>
      <c r="AO291" s="495"/>
    </row>
    <row r="292" spans="1:41" ht="12">
      <c r="A292" s="495"/>
      <c r="B292" s="495"/>
      <c r="C292" s="495"/>
      <c r="D292" s="495"/>
      <c r="E292" s="495"/>
      <c r="F292" s="495"/>
      <c r="G292" s="495"/>
      <c r="H292" s="495"/>
      <c r="I292" s="495"/>
      <c r="J292" s="495"/>
      <c r="K292" s="495"/>
      <c r="L292" s="495"/>
      <c r="M292" s="495"/>
      <c r="N292" s="495"/>
      <c r="O292" s="495"/>
      <c r="P292" s="495"/>
      <c r="Q292" s="495"/>
      <c r="R292" s="495"/>
      <c r="S292" s="495"/>
      <c r="T292" s="495"/>
      <c r="U292" s="495"/>
      <c r="V292" s="495"/>
      <c r="W292" s="495"/>
      <c r="X292" s="495"/>
      <c r="Y292" s="495"/>
      <c r="Z292" s="495"/>
      <c r="AA292" s="495"/>
      <c r="AB292" s="495"/>
      <c r="AC292" s="495"/>
      <c r="AD292" s="495"/>
      <c r="AE292" s="495"/>
      <c r="AF292" s="495"/>
      <c r="AG292" s="495"/>
      <c r="AH292" s="495"/>
      <c r="AI292" s="495"/>
      <c r="AJ292" s="495"/>
      <c r="AK292" s="495"/>
      <c r="AL292" s="495"/>
      <c r="AM292" s="495"/>
      <c r="AN292" s="495"/>
      <c r="AO292" s="495"/>
    </row>
    <row r="293" spans="1:41" ht="12">
      <c r="A293" s="495"/>
      <c r="B293" s="495"/>
      <c r="C293" s="495"/>
      <c r="D293" s="495"/>
      <c r="E293" s="495"/>
      <c r="F293" s="495"/>
      <c r="G293" s="495"/>
      <c r="H293" s="495"/>
      <c r="I293" s="495"/>
      <c r="J293" s="495"/>
      <c r="K293" s="495"/>
      <c r="L293" s="495"/>
      <c r="M293" s="495"/>
      <c r="N293" s="495"/>
      <c r="O293" s="495"/>
      <c r="P293" s="495"/>
      <c r="Q293" s="495"/>
      <c r="R293" s="495"/>
      <c r="S293" s="495"/>
      <c r="T293" s="495"/>
      <c r="U293" s="495"/>
      <c r="V293" s="495"/>
      <c r="W293" s="495"/>
      <c r="X293" s="495"/>
      <c r="Y293" s="495"/>
      <c r="Z293" s="495"/>
      <c r="AA293" s="495"/>
      <c r="AB293" s="495"/>
      <c r="AC293" s="495"/>
      <c r="AD293" s="495"/>
      <c r="AE293" s="495"/>
      <c r="AF293" s="495"/>
      <c r="AG293" s="495"/>
      <c r="AH293" s="495"/>
      <c r="AI293" s="495"/>
      <c r="AJ293" s="495"/>
      <c r="AK293" s="495"/>
      <c r="AL293" s="495"/>
      <c r="AM293" s="495"/>
      <c r="AN293" s="495"/>
      <c r="AO293" s="495"/>
    </row>
    <row r="294" spans="1:41" ht="12">
      <c r="A294" s="495"/>
      <c r="B294" s="495"/>
      <c r="C294" s="495"/>
      <c r="D294" s="495"/>
      <c r="E294" s="495"/>
      <c r="F294" s="495"/>
      <c r="G294" s="495"/>
      <c r="H294" s="495"/>
      <c r="I294" s="495"/>
      <c r="J294" s="495"/>
      <c r="K294" s="495"/>
      <c r="L294" s="495"/>
      <c r="M294" s="495"/>
      <c r="N294" s="495"/>
      <c r="O294" s="495"/>
      <c r="P294" s="495"/>
      <c r="Q294" s="495"/>
      <c r="R294" s="495"/>
      <c r="S294" s="495"/>
      <c r="T294" s="495"/>
      <c r="U294" s="495"/>
      <c r="V294" s="495"/>
      <c r="W294" s="495"/>
      <c r="X294" s="495"/>
      <c r="Y294" s="495"/>
      <c r="Z294" s="495"/>
      <c r="AA294" s="495"/>
      <c r="AB294" s="495"/>
      <c r="AC294" s="495"/>
      <c r="AD294" s="495"/>
      <c r="AE294" s="495"/>
      <c r="AF294" s="495"/>
      <c r="AG294" s="495"/>
      <c r="AH294" s="495"/>
      <c r="AI294" s="495"/>
      <c r="AJ294" s="495"/>
      <c r="AK294" s="495"/>
      <c r="AL294" s="495"/>
      <c r="AM294" s="495"/>
      <c r="AN294" s="495"/>
      <c r="AO294" s="495"/>
    </row>
    <row r="295" spans="1:41" ht="12">
      <c r="A295" s="495"/>
      <c r="B295" s="495"/>
      <c r="C295" s="495"/>
      <c r="D295" s="495"/>
      <c r="E295" s="495"/>
      <c r="F295" s="495"/>
      <c r="G295" s="495"/>
      <c r="H295" s="495"/>
      <c r="I295" s="495"/>
      <c r="J295" s="495"/>
      <c r="K295" s="495"/>
      <c r="L295" s="495"/>
      <c r="M295" s="495"/>
      <c r="N295" s="495"/>
      <c r="O295" s="495"/>
      <c r="P295" s="495"/>
      <c r="Q295" s="495"/>
      <c r="R295" s="495"/>
      <c r="S295" s="495"/>
      <c r="T295" s="495"/>
      <c r="U295" s="495"/>
      <c r="V295" s="495"/>
      <c r="W295" s="495"/>
      <c r="X295" s="495"/>
      <c r="Y295" s="495"/>
      <c r="Z295" s="495"/>
      <c r="AA295" s="495"/>
      <c r="AB295" s="495"/>
      <c r="AC295" s="495"/>
      <c r="AD295" s="495"/>
      <c r="AE295" s="495"/>
      <c r="AF295" s="495"/>
      <c r="AG295" s="495"/>
      <c r="AH295" s="495"/>
      <c r="AI295" s="495"/>
      <c r="AJ295" s="495"/>
      <c r="AK295" s="495"/>
      <c r="AL295" s="495"/>
      <c r="AM295" s="495"/>
      <c r="AN295" s="495"/>
      <c r="AO295" s="495"/>
    </row>
    <row r="296" spans="1:41" ht="12">
      <c r="A296" s="495"/>
      <c r="B296" s="495"/>
      <c r="C296" s="495"/>
      <c r="D296" s="495"/>
      <c r="E296" s="495"/>
      <c r="F296" s="495"/>
      <c r="G296" s="495"/>
      <c r="H296" s="495"/>
      <c r="I296" s="495"/>
      <c r="J296" s="495"/>
      <c r="K296" s="495"/>
      <c r="L296" s="495"/>
      <c r="M296" s="495"/>
      <c r="N296" s="495"/>
      <c r="O296" s="495"/>
      <c r="P296" s="495"/>
      <c r="Q296" s="495"/>
      <c r="R296" s="495"/>
      <c r="S296" s="495"/>
      <c r="T296" s="495"/>
      <c r="U296" s="495"/>
      <c r="V296" s="495"/>
      <c r="W296" s="495"/>
      <c r="X296" s="495"/>
      <c r="Y296" s="495"/>
      <c r="Z296" s="495"/>
      <c r="AA296" s="495"/>
      <c r="AB296" s="495"/>
      <c r="AC296" s="495"/>
      <c r="AD296" s="495"/>
      <c r="AE296" s="495"/>
      <c r="AF296" s="495"/>
      <c r="AG296" s="495"/>
      <c r="AH296" s="495"/>
      <c r="AI296" s="495"/>
      <c r="AJ296" s="495"/>
      <c r="AK296" s="495"/>
      <c r="AL296" s="495"/>
      <c r="AM296" s="495"/>
      <c r="AN296" s="495"/>
      <c r="AO296" s="495"/>
    </row>
    <row r="297" spans="1:41" ht="12">
      <c r="A297" s="495"/>
      <c r="B297" s="495"/>
      <c r="C297" s="495"/>
      <c r="D297" s="495"/>
      <c r="E297" s="495"/>
      <c r="F297" s="495"/>
      <c r="G297" s="495"/>
      <c r="H297" s="495"/>
      <c r="I297" s="495"/>
      <c r="J297" s="495"/>
      <c r="K297" s="495"/>
      <c r="L297" s="495"/>
      <c r="M297" s="495"/>
      <c r="N297" s="495"/>
      <c r="O297" s="495"/>
      <c r="P297" s="495"/>
      <c r="Q297" s="495"/>
      <c r="R297" s="495"/>
      <c r="S297" s="495"/>
      <c r="T297" s="495"/>
      <c r="U297" s="495"/>
      <c r="V297" s="495"/>
      <c r="W297" s="495"/>
      <c r="X297" s="495"/>
      <c r="Y297" s="495"/>
      <c r="Z297" s="495"/>
      <c r="AA297" s="495"/>
      <c r="AB297" s="495"/>
      <c r="AC297" s="495"/>
      <c r="AD297" s="495"/>
      <c r="AE297" s="495"/>
      <c r="AF297" s="495"/>
      <c r="AG297" s="495"/>
      <c r="AH297" s="495"/>
      <c r="AI297" s="495"/>
      <c r="AJ297" s="495"/>
      <c r="AK297" s="495"/>
      <c r="AL297" s="495"/>
      <c r="AM297" s="495"/>
      <c r="AN297" s="495"/>
      <c r="AO297" s="495"/>
    </row>
    <row r="298" spans="1:41" ht="12">
      <c r="A298" s="495"/>
      <c r="B298" s="495"/>
      <c r="C298" s="495"/>
      <c r="D298" s="495"/>
      <c r="E298" s="495"/>
      <c r="F298" s="495"/>
      <c r="G298" s="495"/>
      <c r="H298" s="495"/>
      <c r="I298" s="495"/>
      <c r="J298" s="495"/>
      <c r="K298" s="495"/>
      <c r="L298" s="495"/>
      <c r="M298" s="495"/>
      <c r="N298" s="495"/>
      <c r="O298" s="495"/>
      <c r="P298" s="495"/>
      <c r="Q298" s="495"/>
      <c r="R298" s="495"/>
      <c r="S298" s="495"/>
      <c r="T298" s="495"/>
      <c r="U298" s="495"/>
      <c r="V298" s="495"/>
      <c r="W298" s="495"/>
      <c r="X298" s="495"/>
      <c r="Y298" s="495"/>
      <c r="Z298" s="495"/>
      <c r="AA298" s="495"/>
      <c r="AB298" s="495"/>
      <c r="AC298" s="495"/>
      <c r="AD298" s="495"/>
      <c r="AE298" s="495"/>
      <c r="AF298" s="495"/>
      <c r="AG298" s="495"/>
      <c r="AH298" s="495"/>
      <c r="AI298" s="495"/>
      <c r="AJ298" s="495"/>
      <c r="AK298" s="495"/>
      <c r="AL298" s="495"/>
      <c r="AM298" s="495"/>
      <c r="AN298" s="495"/>
      <c r="AO298" s="495"/>
    </row>
    <row r="299" spans="1:41" ht="12">
      <c r="A299" s="495"/>
      <c r="B299" s="495"/>
      <c r="C299" s="495"/>
      <c r="D299" s="495"/>
      <c r="E299" s="495"/>
      <c r="F299" s="495"/>
      <c r="G299" s="495"/>
      <c r="H299" s="495"/>
      <c r="I299" s="495"/>
      <c r="J299" s="495"/>
      <c r="K299" s="495"/>
      <c r="L299" s="495"/>
      <c r="M299" s="495"/>
      <c r="N299" s="495"/>
      <c r="O299" s="495"/>
      <c r="P299" s="495"/>
      <c r="Q299" s="495"/>
      <c r="R299" s="495"/>
      <c r="S299" s="495"/>
      <c r="T299" s="495"/>
      <c r="U299" s="495"/>
      <c r="V299" s="495"/>
      <c r="W299" s="495"/>
      <c r="X299" s="495"/>
      <c r="Y299" s="495"/>
      <c r="Z299" s="495"/>
      <c r="AA299" s="495"/>
      <c r="AB299" s="495"/>
      <c r="AC299" s="495"/>
      <c r="AD299" s="495"/>
      <c r="AE299" s="495"/>
      <c r="AF299" s="495"/>
      <c r="AG299" s="495"/>
      <c r="AH299" s="495"/>
      <c r="AI299" s="495"/>
      <c r="AJ299" s="495"/>
      <c r="AK299" s="495"/>
      <c r="AL299" s="495"/>
      <c r="AM299" s="495"/>
      <c r="AN299" s="495"/>
      <c r="AO299" s="495"/>
    </row>
    <row r="300" spans="1:41" ht="12">
      <c r="A300" s="495"/>
      <c r="B300" s="495"/>
      <c r="C300" s="495"/>
      <c r="D300" s="495"/>
      <c r="E300" s="495"/>
      <c r="F300" s="495"/>
      <c r="G300" s="495"/>
      <c r="H300" s="495"/>
      <c r="I300" s="495"/>
      <c r="J300" s="495"/>
      <c r="K300" s="495"/>
      <c r="L300" s="495"/>
      <c r="M300" s="495"/>
      <c r="N300" s="495"/>
      <c r="O300" s="495"/>
      <c r="P300" s="495"/>
      <c r="Q300" s="495"/>
      <c r="R300" s="495"/>
      <c r="S300" s="495"/>
      <c r="T300" s="495"/>
      <c r="U300" s="495"/>
      <c r="V300" s="495"/>
      <c r="W300" s="495"/>
      <c r="X300" s="495"/>
      <c r="Y300" s="495"/>
      <c r="Z300" s="495"/>
      <c r="AA300" s="495"/>
      <c r="AB300" s="495"/>
      <c r="AC300" s="495"/>
      <c r="AD300" s="495"/>
      <c r="AE300" s="495"/>
      <c r="AF300" s="495"/>
      <c r="AG300" s="495"/>
      <c r="AH300" s="495"/>
      <c r="AI300" s="495"/>
      <c r="AJ300" s="495"/>
      <c r="AK300" s="495"/>
      <c r="AL300" s="495"/>
      <c r="AM300" s="495"/>
      <c r="AN300" s="495"/>
      <c r="AO300" s="495"/>
    </row>
    <row r="301" spans="1:41" ht="12">
      <c r="A301" s="495"/>
      <c r="B301" s="495"/>
      <c r="C301" s="495"/>
      <c r="D301" s="495"/>
      <c r="E301" s="495"/>
      <c r="F301" s="495"/>
      <c r="G301" s="495"/>
      <c r="H301" s="495"/>
      <c r="I301" s="495"/>
      <c r="J301" s="495"/>
      <c r="K301" s="495"/>
      <c r="L301" s="495"/>
      <c r="M301" s="495"/>
      <c r="N301" s="495"/>
      <c r="O301" s="495"/>
      <c r="P301" s="495"/>
      <c r="Q301" s="495"/>
      <c r="R301" s="495"/>
      <c r="S301" s="495"/>
      <c r="T301" s="495"/>
      <c r="U301" s="495"/>
      <c r="V301" s="495"/>
      <c r="W301" s="495"/>
      <c r="X301" s="495"/>
      <c r="Y301" s="495"/>
      <c r="Z301" s="495"/>
      <c r="AA301" s="495"/>
      <c r="AB301" s="495"/>
      <c r="AC301" s="495"/>
      <c r="AD301" s="495"/>
      <c r="AE301" s="495"/>
      <c r="AF301" s="495"/>
      <c r="AG301" s="495"/>
      <c r="AH301" s="495"/>
      <c r="AI301" s="495"/>
      <c r="AJ301" s="495"/>
      <c r="AK301" s="495"/>
      <c r="AL301" s="495"/>
      <c r="AM301" s="495"/>
      <c r="AN301" s="495"/>
      <c r="AO301" s="495"/>
    </row>
    <row r="302" spans="1:41" ht="12">
      <c r="A302" s="495"/>
      <c r="B302" s="495"/>
      <c r="C302" s="495"/>
      <c r="D302" s="495"/>
      <c r="E302" s="495"/>
      <c r="F302" s="495"/>
      <c r="G302" s="495"/>
      <c r="H302" s="495"/>
      <c r="I302" s="495"/>
      <c r="J302" s="495"/>
      <c r="K302" s="495"/>
      <c r="L302" s="495"/>
      <c r="M302" s="495"/>
      <c r="N302" s="495"/>
      <c r="O302" s="495"/>
      <c r="P302" s="495"/>
      <c r="Q302" s="495"/>
      <c r="R302" s="495"/>
      <c r="S302" s="495"/>
      <c r="T302" s="495"/>
      <c r="U302" s="495"/>
      <c r="V302" s="495"/>
      <c r="W302" s="495"/>
      <c r="X302" s="495"/>
      <c r="Y302" s="495"/>
      <c r="Z302" s="495"/>
      <c r="AA302" s="495"/>
      <c r="AB302" s="495"/>
      <c r="AC302" s="495"/>
      <c r="AD302" s="495"/>
      <c r="AE302" s="495"/>
      <c r="AF302" s="495"/>
      <c r="AG302" s="495"/>
      <c r="AH302" s="495"/>
      <c r="AI302" s="495"/>
      <c r="AJ302" s="495"/>
      <c r="AK302" s="495"/>
      <c r="AL302" s="495"/>
      <c r="AM302" s="495"/>
      <c r="AN302" s="495"/>
      <c r="AO302" s="495"/>
    </row>
    <row r="303" spans="1:41" ht="12">
      <c r="A303" s="495"/>
      <c r="B303" s="495"/>
      <c r="C303" s="495"/>
      <c r="D303" s="495"/>
      <c r="E303" s="495"/>
      <c r="F303" s="495"/>
      <c r="G303" s="495"/>
      <c r="H303" s="495"/>
      <c r="I303" s="495"/>
      <c r="J303" s="495"/>
      <c r="K303" s="495"/>
      <c r="L303" s="495"/>
      <c r="M303" s="495"/>
      <c r="N303" s="495"/>
      <c r="O303" s="495"/>
      <c r="P303" s="495"/>
      <c r="Q303" s="495"/>
      <c r="R303" s="495"/>
      <c r="S303" s="495"/>
      <c r="T303" s="495"/>
      <c r="U303" s="495"/>
      <c r="V303" s="495"/>
      <c r="W303" s="495"/>
      <c r="X303" s="495"/>
      <c r="Y303" s="495"/>
      <c r="Z303" s="495"/>
      <c r="AA303" s="495"/>
      <c r="AB303" s="495"/>
      <c r="AC303" s="495"/>
      <c r="AD303" s="495"/>
      <c r="AE303" s="495"/>
      <c r="AF303" s="495"/>
      <c r="AG303" s="495"/>
      <c r="AH303" s="495"/>
      <c r="AI303" s="495"/>
      <c r="AJ303" s="495"/>
      <c r="AK303" s="495"/>
      <c r="AL303" s="495"/>
      <c r="AM303" s="495"/>
      <c r="AN303" s="495"/>
      <c r="AO303" s="495"/>
    </row>
    <row r="304" spans="1:41" ht="12">
      <c r="A304" s="495"/>
      <c r="B304" s="495"/>
      <c r="C304" s="495"/>
      <c r="D304" s="495"/>
      <c r="E304" s="495"/>
      <c r="F304" s="495"/>
      <c r="G304" s="495"/>
      <c r="H304" s="495"/>
      <c r="I304" s="495"/>
      <c r="J304" s="495"/>
      <c r="K304" s="495"/>
      <c r="L304" s="495"/>
      <c r="M304" s="495"/>
      <c r="N304" s="495"/>
      <c r="O304" s="495"/>
      <c r="P304" s="495"/>
      <c r="Q304" s="495"/>
      <c r="R304" s="495"/>
      <c r="S304" s="495"/>
      <c r="T304" s="495"/>
      <c r="U304" s="495"/>
      <c r="V304" s="495"/>
      <c r="W304" s="495"/>
      <c r="X304" s="495"/>
      <c r="Y304" s="495"/>
      <c r="Z304" s="495"/>
      <c r="AA304" s="495"/>
      <c r="AB304" s="495"/>
      <c r="AC304" s="495"/>
      <c r="AD304" s="495"/>
      <c r="AE304" s="495"/>
      <c r="AF304" s="495"/>
      <c r="AG304" s="495"/>
      <c r="AH304" s="495"/>
      <c r="AI304" s="495"/>
      <c r="AJ304" s="495"/>
      <c r="AK304" s="495"/>
      <c r="AL304" s="495"/>
      <c r="AM304" s="495"/>
      <c r="AN304" s="495"/>
      <c r="AO304" s="495"/>
    </row>
    <row r="305" spans="1:41" ht="12">
      <c r="A305" s="495"/>
      <c r="B305" s="495"/>
      <c r="C305" s="495"/>
      <c r="D305" s="495"/>
      <c r="E305" s="495"/>
      <c r="F305" s="495"/>
      <c r="G305" s="495"/>
      <c r="H305" s="495"/>
      <c r="I305" s="495"/>
      <c r="J305" s="495"/>
      <c r="K305" s="495"/>
      <c r="L305" s="495"/>
      <c r="M305" s="495"/>
      <c r="N305" s="495"/>
      <c r="O305" s="495"/>
      <c r="P305" s="495"/>
      <c r="Q305" s="495"/>
      <c r="R305" s="495"/>
      <c r="S305" s="495"/>
      <c r="T305" s="495"/>
      <c r="U305" s="495"/>
      <c r="V305" s="495"/>
      <c r="W305" s="495"/>
      <c r="X305" s="495"/>
      <c r="Y305" s="495"/>
      <c r="Z305" s="495"/>
      <c r="AA305" s="495"/>
      <c r="AB305" s="495"/>
      <c r="AC305" s="495"/>
      <c r="AD305" s="495"/>
      <c r="AE305" s="495"/>
      <c r="AF305" s="495"/>
      <c r="AG305" s="495"/>
      <c r="AH305" s="495"/>
      <c r="AI305" s="495"/>
      <c r="AJ305" s="495"/>
      <c r="AK305" s="495"/>
      <c r="AL305" s="495"/>
      <c r="AM305" s="495"/>
      <c r="AN305" s="495"/>
      <c r="AO305" s="495"/>
    </row>
    <row r="306" spans="1:41" ht="12">
      <c r="A306" s="495"/>
      <c r="B306" s="495"/>
      <c r="C306" s="495"/>
      <c r="D306" s="495"/>
      <c r="E306" s="495"/>
      <c r="F306" s="495"/>
      <c r="G306" s="495"/>
      <c r="H306" s="495"/>
      <c r="I306" s="495"/>
      <c r="J306" s="495"/>
      <c r="K306" s="495"/>
      <c r="L306" s="495"/>
      <c r="M306" s="495"/>
      <c r="N306" s="495"/>
      <c r="O306" s="495"/>
      <c r="P306" s="495"/>
      <c r="Q306" s="495"/>
      <c r="R306" s="495"/>
      <c r="S306" s="495"/>
      <c r="T306" s="495"/>
      <c r="U306" s="495"/>
      <c r="V306" s="495"/>
      <c r="W306" s="495"/>
      <c r="X306" s="495"/>
      <c r="Y306" s="495"/>
      <c r="Z306" s="495"/>
      <c r="AA306" s="495"/>
      <c r="AB306" s="495"/>
      <c r="AC306" s="495"/>
      <c r="AD306" s="495"/>
      <c r="AE306" s="495"/>
      <c r="AF306" s="495"/>
      <c r="AG306" s="495"/>
      <c r="AH306" s="495"/>
      <c r="AI306" s="495"/>
      <c r="AJ306" s="495"/>
      <c r="AK306" s="495"/>
      <c r="AL306" s="495"/>
      <c r="AM306" s="495"/>
      <c r="AN306" s="495"/>
      <c r="AO306" s="495"/>
    </row>
    <row r="307" spans="1:41" ht="12">
      <c r="A307" s="495"/>
      <c r="B307" s="495"/>
      <c r="C307" s="495"/>
      <c r="D307" s="495"/>
      <c r="E307" s="495"/>
      <c r="F307" s="495"/>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c r="AG307" s="495"/>
      <c r="AH307" s="495"/>
      <c r="AI307" s="495"/>
      <c r="AJ307" s="495"/>
      <c r="AK307" s="495"/>
      <c r="AL307" s="495"/>
      <c r="AM307" s="495"/>
      <c r="AN307" s="495"/>
      <c r="AO307" s="495"/>
    </row>
    <row r="308" spans="1:41" ht="12">
      <c r="A308" s="495"/>
      <c r="B308" s="495"/>
      <c r="C308" s="495"/>
      <c r="D308" s="495"/>
      <c r="E308" s="495"/>
      <c r="F308" s="495"/>
      <c r="G308" s="495"/>
      <c r="H308" s="495"/>
      <c r="I308" s="495"/>
      <c r="J308" s="495"/>
      <c r="K308" s="495"/>
      <c r="L308" s="495"/>
      <c r="M308" s="495"/>
      <c r="N308" s="495"/>
      <c r="O308" s="495"/>
      <c r="P308" s="495"/>
      <c r="Q308" s="495"/>
      <c r="R308" s="495"/>
      <c r="S308" s="495"/>
      <c r="T308" s="495"/>
      <c r="U308" s="495"/>
      <c r="V308" s="495"/>
      <c r="W308" s="495"/>
      <c r="X308" s="495"/>
      <c r="Y308" s="495"/>
      <c r="Z308" s="495"/>
      <c r="AA308" s="495"/>
      <c r="AB308" s="495"/>
      <c r="AC308" s="495"/>
      <c r="AD308" s="495"/>
      <c r="AE308" s="495"/>
      <c r="AF308" s="495"/>
      <c r="AG308" s="495"/>
      <c r="AH308" s="495"/>
      <c r="AI308" s="495"/>
      <c r="AJ308" s="495"/>
      <c r="AK308" s="495"/>
      <c r="AL308" s="495"/>
      <c r="AM308" s="495"/>
      <c r="AN308" s="495"/>
      <c r="AO308" s="495"/>
    </row>
    <row r="309" spans="1:41" ht="12">
      <c r="A309" s="495"/>
      <c r="B309" s="495"/>
      <c r="C309" s="495"/>
      <c r="D309" s="495"/>
      <c r="E309" s="495"/>
      <c r="F309" s="495"/>
      <c r="G309" s="495"/>
      <c r="H309" s="495"/>
      <c r="I309" s="495"/>
      <c r="J309" s="495"/>
      <c r="K309" s="495"/>
      <c r="L309" s="495"/>
      <c r="M309" s="495"/>
      <c r="N309" s="495"/>
      <c r="O309" s="495"/>
      <c r="P309" s="495"/>
      <c r="Q309" s="495"/>
      <c r="R309" s="495"/>
      <c r="S309" s="495"/>
      <c r="T309" s="495"/>
      <c r="U309" s="495"/>
      <c r="V309" s="495"/>
      <c r="W309" s="495"/>
      <c r="X309" s="495"/>
      <c r="Y309" s="495"/>
      <c r="Z309" s="495"/>
      <c r="AA309" s="495"/>
      <c r="AB309" s="495"/>
      <c r="AC309" s="495"/>
      <c r="AD309" s="495"/>
      <c r="AE309" s="495"/>
      <c r="AF309" s="495"/>
      <c r="AG309" s="495"/>
      <c r="AH309" s="495"/>
      <c r="AI309" s="495"/>
      <c r="AJ309" s="495"/>
      <c r="AK309" s="495"/>
      <c r="AL309" s="495"/>
      <c r="AM309" s="495"/>
      <c r="AN309" s="495"/>
      <c r="AO309" s="495"/>
    </row>
    <row r="310" spans="1:41" ht="12">
      <c r="A310" s="495"/>
      <c r="B310" s="495"/>
      <c r="C310" s="495"/>
      <c r="D310" s="495"/>
      <c r="E310" s="495"/>
      <c r="F310" s="495"/>
      <c r="G310" s="495"/>
      <c r="H310" s="495"/>
      <c r="I310" s="495"/>
      <c r="J310" s="495"/>
      <c r="K310" s="495"/>
      <c r="L310" s="495"/>
      <c r="M310" s="495"/>
      <c r="N310" s="495"/>
      <c r="O310" s="495"/>
      <c r="P310" s="495"/>
      <c r="Q310" s="495"/>
      <c r="R310" s="495"/>
      <c r="S310" s="495"/>
      <c r="T310" s="495"/>
      <c r="U310" s="495"/>
      <c r="V310" s="495"/>
      <c r="W310" s="495"/>
      <c r="X310" s="495"/>
      <c r="Y310" s="495"/>
      <c r="Z310" s="495"/>
      <c r="AA310" s="495"/>
      <c r="AB310" s="495"/>
      <c r="AC310" s="495"/>
      <c r="AD310" s="495"/>
      <c r="AE310" s="495"/>
      <c r="AF310" s="495"/>
      <c r="AG310" s="495"/>
      <c r="AH310" s="495"/>
      <c r="AI310" s="495"/>
      <c r="AJ310" s="495"/>
      <c r="AK310" s="495"/>
      <c r="AL310" s="495"/>
      <c r="AM310" s="495"/>
      <c r="AN310" s="495"/>
      <c r="AO310" s="495"/>
    </row>
    <row r="311" spans="1:41" ht="12">
      <c r="A311" s="495"/>
      <c r="B311" s="495"/>
      <c r="C311" s="495"/>
      <c r="D311" s="495"/>
      <c r="E311" s="495"/>
      <c r="F311" s="495"/>
      <c r="G311" s="495"/>
      <c r="H311" s="495"/>
      <c r="I311" s="495"/>
      <c r="J311" s="495"/>
      <c r="K311" s="495"/>
      <c r="L311" s="495"/>
      <c r="M311" s="495"/>
      <c r="N311" s="495"/>
      <c r="O311" s="495"/>
      <c r="P311" s="495"/>
      <c r="Q311" s="495"/>
      <c r="R311" s="495"/>
      <c r="S311" s="495"/>
      <c r="T311" s="495"/>
      <c r="U311" s="495"/>
      <c r="V311" s="495"/>
      <c r="W311" s="495"/>
      <c r="X311" s="495"/>
      <c r="Y311" s="495"/>
      <c r="Z311" s="495"/>
      <c r="AA311" s="495"/>
      <c r="AB311" s="495"/>
      <c r="AC311" s="495"/>
      <c r="AD311" s="495"/>
      <c r="AE311" s="495"/>
      <c r="AF311" s="495"/>
      <c r="AG311" s="495"/>
      <c r="AH311" s="495"/>
      <c r="AI311" s="495"/>
      <c r="AJ311" s="495"/>
      <c r="AK311" s="495"/>
      <c r="AL311" s="495"/>
      <c r="AM311" s="495"/>
      <c r="AN311" s="495"/>
      <c r="AO311" s="495"/>
    </row>
    <row r="312" spans="1:41" ht="12">
      <c r="A312" s="495"/>
      <c r="B312" s="495"/>
      <c r="C312" s="495"/>
      <c r="D312" s="495"/>
      <c r="E312" s="495"/>
      <c r="F312" s="495"/>
      <c r="G312" s="495"/>
      <c r="H312" s="495"/>
      <c r="I312" s="495"/>
      <c r="J312" s="495"/>
      <c r="K312" s="495"/>
      <c r="L312" s="495"/>
      <c r="M312" s="495"/>
      <c r="N312" s="495"/>
      <c r="O312" s="495"/>
      <c r="P312" s="495"/>
      <c r="Q312" s="495"/>
      <c r="R312" s="495"/>
      <c r="S312" s="495"/>
      <c r="T312" s="495"/>
      <c r="U312" s="495"/>
      <c r="V312" s="495"/>
      <c r="W312" s="495"/>
      <c r="X312" s="495"/>
      <c r="Y312" s="495"/>
      <c r="Z312" s="495"/>
      <c r="AA312" s="495"/>
      <c r="AB312" s="495"/>
      <c r="AC312" s="495"/>
      <c r="AD312" s="495"/>
      <c r="AE312" s="495"/>
      <c r="AF312" s="495"/>
      <c r="AG312" s="495"/>
      <c r="AH312" s="495"/>
      <c r="AI312" s="495"/>
      <c r="AJ312" s="495"/>
      <c r="AK312" s="495"/>
      <c r="AL312" s="495"/>
      <c r="AM312" s="495"/>
      <c r="AN312" s="495"/>
      <c r="AO312" s="495"/>
    </row>
    <row r="313" spans="1:41" ht="12">
      <c r="A313" s="495"/>
      <c r="B313" s="495"/>
      <c r="C313" s="495"/>
      <c r="D313" s="495"/>
      <c r="E313" s="495"/>
      <c r="F313" s="495"/>
      <c r="G313" s="495"/>
      <c r="H313" s="495"/>
      <c r="I313" s="495"/>
      <c r="J313" s="495"/>
      <c r="K313" s="495"/>
      <c r="L313" s="495"/>
      <c r="M313" s="495"/>
      <c r="N313" s="495"/>
      <c r="O313" s="495"/>
      <c r="P313" s="495"/>
      <c r="Q313" s="495"/>
      <c r="R313" s="495"/>
      <c r="S313" s="495"/>
      <c r="T313" s="495"/>
      <c r="U313" s="495"/>
      <c r="V313" s="495"/>
      <c r="W313" s="495"/>
      <c r="X313" s="495"/>
      <c r="Y313" s="495"/>
      <c r="Z313" s="495"/>
      <c r="AA313" s="495"/>
      <c r="AB313" s="495"/>
      <c r="AC313" s="495"/>
      <c r="AD313" s="495"/>
      <c r="AE313" s="495"/>
      <c r="AF313" s="495"/>
      <c r="AG313" s="495"/>
      <c r="AH313" s="495"/>
      <c r="AI313" s="495"/>
      <c r="AJ313" s="495"/>
      <c r="AK313" s="495"/>
      <c r="AL313" s="495"/>
      <c r="AM313" s="495"/>
      <c r="AN313" s="495"/>
      <c r="AO313" s="495"/>
    </row>
    <row r="314" spans="1:41" ht="12">
      <c r="A314" s="495"/>
      <c r="B314" s="495"/>
      <c r="C314" s="495"/>
      <c r="D314" s="495"/>
      <c r="E314" s="495"/>
      <c r="F314" s="495"/>
      <c r="G314" s="495"/>
      <c r="H314" s="495"/>
      <c r="I314" s="495"/>
      <c r="J314" s="495"/>
      <c r="K314" s="495"/>
      <c r="L314" s="495"/>
      <c r="M314" s="495"/>
      <c r="N314" s="495"/>
      <c r="O314" s="495"/>
      <c r="P314" s="495"/>
      <c r="Q314" s="495"/>
      <c r="R314" s="495"/>
      <c r="S314" s="495"/>
      <c r="T314" s="495"/>
      <c r="U314" s="495"/>
      <c r="V314" s="495"/>
      <c r="W314" s="495"/>
      <c r="X314" s="495"/>
      <c r="Y314" s="495"/>
      <c r="Z314" s="495"/>
      <c r="AA314" s="495"/>
      <c r="AB314" s="495"/>
      <c r="AC314" s="495"/>
      <c r="AD314" s="495"/>
      <c r="AE314" s="495"/>
      <c r="AF314" s="495"/>
      <c r="AG314" s="495"/>
      <c r="AH314" s="495"/>
      <c r="AI314" s="495"/>
      <c r="AJ314" s="495"/>
      <c r="AK314" s="495"/>
      <c r="AL314" s="495"/>
      <c r="AM314" s="495"/>
      <c r="AN314" s="495"/>
      <c r="AO314" s="495"/>
    </row>
    <row r="315" spans="1:41" ht="12">
      <c r="A315" s="495"/>
      <c r="B315" s="495"/>
      <c r="C315" s="495"/>
      <c r="D315" s="495"/>
      <c r="E315" s="495"/>
      <c r="F315" s="495"/>
      <c r="G315" s="495"/>
      <c r="H315" s="495"/>
      <c r="I315" s="495"/>
      <c r="J315" s="495"/>
      <c r="K315" s="495"/>
      <c r="L315" s="495"/>
      <c r="M315" s="495"/>
      <c r="N315" s="495"/>
      <c r="O315" s="495"/>
      <c r="P315" s="495"/>
      <c r="Q315" s="495"/>
      <c r="R315" s="495"/>
      <c r="S315" s="495"/>
      <c r="T315" s="495"/>
      <c r="U315" s="495"/>
      <c r="V315" s="495"/>
      <c r="W315" s="495"/>
      <c r="X315" s="495"/>
      <c r="Y315" s="495"/>
      <c r="Z315" s="495"/>
      <c r="AA315" s="495"/>
      <c r="AB315" s="495"/>
      <c r="AC315" s="495"/>
      <c r="AD315" s="495"/>
      <c r="AE315" s="495"/>
      <c r="AF315" s="495"/>
      <c r="AG315" s="495"/>
      <c r="AH315" s="495"/>
      <c r="AI315" s="495"/>
      <c r="AJ315" s="495"/>
      <c r="AK315" s="495"/>
      <c r="AL315" s="495"/>
      <c r="AM315" s="495"/>
      <c r="AN315" s="495"/>
      <c r="AO315" s="495"/>
    </row>
    <row r="316" spans="1:41" ht="12">
      <c r="A316" s="495"/>
      <c r="B316" s="495"/>
      <c r="C316" s="495"/>
      <c r="D316" s="495"/>
      <c r="E316" s="495"/>
      <c r="F316" s="495"/>
      <c r="G316" s="495"/>
      <c r="H316" s="495"/>
      <c r="I316" s="495"/>
      <c r="J316" s="495"/>
      <c r="K316" s="495"/>
      <c r="L316" s="495"/>
      <c r="M316" s="495"/>
      <c r="N316" s="495"/>
      <c r="O316" s="495"/>
      <c r="P316" s="495"/>
      <c r="Q316" s="495"/>
      <c r="R316" s="495"/>
      <c r="S316" s="495"/>
      <c r="T316" s="495"/>
      <c r="U316" s="495"/>
      <c r="V316" s="495"/>
      <c r="W316" s="495"/>
      <c r="X316" s="495"/>
      <c r="Y316" s="495"/>
      <c r="Z316" s="495"/>
      <c r="AA316" s="495"/>
      <c r="AB316" s="495"/>
      <c r="AC316" s="495"/>
      <c r="AD316" s="495"/>
      <c r="AE316" s="495"/>
      <c r="AF316" s="495"/>
      <c r="AG316" s="495"/>
      <c r="AH316" s="495"/>
      <c r="AI316" s="495"/>
      <c r="AJ316" s="495"/>
      <c r="AK316" s="495"/>
      <c r="AL316" s="495"/>
      <c r="AM316" s="495"/>
      <c r="AN316" s="495"/>
      <c r="AO316" s="495"/>
    </row>
    <row r="317" spans="1:41" ht="12">
      <c r="A317" s="495"/>
      <c r="B317" s="495"/>
      <c r="C317" s="495"/>
      <c r="D317" s="495"/>
      <c r="E317" s="495"/>
      <c r="F317" s="495"/>
      <c r="G317" s="495"/>
      <c r="H317" s="495"/>
      <c r="I317" s="495"/>
      <c r="J317" s="495"/>
      <c r="K317" s="495"/>
      <c r="L317" s="495"/>
      <c r="M317" s="495"/>
      <c r="N317" s="495"/>
      <c r="O317" s="495"/>
      <c r="P317" s="495"/>
      <c r="Q317" s="495"/>
      <c r="R317" s="495"/>
      <c r="S317" s="495"/>
      <c r="T317" s="495"/>
      <c r="U317" s="495"/>
      <c r="V317" s="495"/>
      <c r="W317" s="495"/>
      <c r="X317" s="495"/>
      <c r="Y317" s="495"/>
      <c r="Z317" s="495"/>
      <c r="AA317" s="495"/>
      <c r="AB317" s="495"/>
      <c r="AC317" s="495"/>
      <c r="AD317" s="495"/>
      <c r="AE317" s="495"/>
      <c r="AF317" s="495"/>
      <c r="AG317" s="495"/>
      <c r="AH317" s="495"/>
      <c r="AI317" s="495"/>
      <c r="AJ317" s="495"/>
      <c r="AK317" s="495"/>
      <c r="AL317" s="495"/>
      <c r="AM317" s="495"/>
      <c r="AN317" s="495"/>
      <c r="AO317" s="495"/>
    </row>
    <row r="318" spans="1:41" ht="12">
      <c r="A318" s="495"/>
      <c r="B318" s="495"/>
      <c r="C318" s="495"/>
      <c r="D318" s="495"/>
      <c r="E318" s="495"/>
      <c r="F318" s="495"/>
      <c r="G318" s="495"/>
      <c r="H318" s="495"/>
      <c r="I318" s="495"/>
      <c r="J318" s="495"/>
      <c r="K318" s="495"/>
      <c r="L318" s="495"/>
      <c r="M318" s="495"/>
      <c r="N318" s="495"/>
      <c r="O318" s="495"/>
      <c r="P318" s="495"/>
      <c r="Q318" s="495"/>
      <c r="R318" s="495"/>
      <c r="S318" s="495"/>
      <c r="T318" s="495"/>
      <c r="U318" s="495"/>
      <c r="V318" s="495"/>
      <c r="W318" s="495"/>
      <c r="X318" s="495"/>
      <c r="Y318" s="495"/>
      <c r="Z318" s="495"/>
      <c r="AA318" s="495"/>
      <c r="AB318" s="495"/>
      <c r="AC318" s="495"/>
      <c r="AD318" s="495"/>
      <c r="AE318" s="495"/>
      <c r="AF318" s="495"/>
      <c r="AG318" s="495"/>
      <c r="AH318" s="495"/>
      <c r="AI318" s="495"/>
      <c r="AJ318" s="495"/>
      <c r="AK318" s="495"/>
      <c r="AL318" s="495"/>
      <c r="AM318" s="495"/>
      <c r="AN318" s="495"/>
      <c r="AO318" s="495"/>
    </row>
    <row r="319" spans="1:41" ht="12">
      <c r="A319" s="495"/>
      <c r="B319" s="495"/>
      <c r="C319" s="495"/>
      <c r="D319" s="495"/>
      <c r="E319" s="495"/>
      <c r="F319" s="495"/>
      <c r="G319" s="495"/>
      <c r="H319" s="495"/>
      <c r="I319" s="495"/>
      <c r="J319" s="495"/>
      <c r="K319" s="495"/>
      <c r="L319" s="495"/>
      <c r="M319" s="495"/>
      <c r="N319" s="495"/>
      <c r="O319" s="495"/>
      <c r="P319" s="495"/>
      <c r="Q319" s="495"/>
      <c r="R319" s="495"/>
      <c r="S319" s="495"/>
      <c r="T319" s="495"/>
      <c r="U319" s="495"/>
      <c r="V319" s="495"/>
      <c r="W319" s="495"/>
      <c r="X319" s="495"/>
      <c r="Y319" s="495"/>
      <c r="Z319" s="495"/>
      <c r="AA319" s="495"/>
      <c r="AB319" s="495"/>
      <c r="AC319" s="495"/>
      <c r="AD319" s="495"/>
      <c r="AE319" s="495"/>
      <c r="AF319" s="495"/>
      <c r="AG319" s="495"/>
      <c r="AH319" s="495"/>
      <c r="AI319" s="495"/>
      <c r="AJ319" s="495"/>
      <c r="AK319" s="495"/>
      <c r="AL319" s="495"/>
      <c r="AM319" s="495"/>
      <c r="AN319" s="495"/>
      <c r="AO319" s="495"/>
    </row>
    <row r="320" spans="1:41" ht="12">
      <c r="A320" s="495"/>
      <c r="B320" s="495"/>
      <c r="C320" s="495"/>
      <c r="D320" s="495"/>
      <c r="E320" s="495"/>
      <c r="F320" s="495"/>
      <c r="G320" s="495"/>
      <c r="H320" s="495"/>
      <c r="I320" s="495"/>
      <c r="J320" s="495"/>
      <c r="K320" s="495"/>
      <c r="L320" s="495"/>
      <c r="M320" s="495"/>
      <c r="N320" s="495"/>
      <c r="O320" s="495"/>
      <c r="P320" s="495"/>
      <c r="Q320" s="495"/>
      <c r="R320" s="495"/>
      <c r="S320" s="495"/>
      <c r="T320" s="495"/>
      <c r="U320" s="495"/>
      <c r="V320" s="495"/>
      <c r="W320" s="495"/>
      <c r="X320" s="495"/>
      <c r="Y320" s="495"/>
      <c r="Z320" s="495"/>
      <c r="AA320" s="495"/>
      <c r="AB320" s="495"/>
      <c r="AC320" s="495"/>
      <c r="AD320" s="495"/>
      <c r="AE320" s="495"/>
      <c r="AF320" s="495"/>
      <c r="AG320" s="495"/>
      <c r="AH320" s="495"/>
      <c r="AI320" s="495"/>
      <c r="AJ320" s="495"/>
      <c r="AK320" s="495"/>
      <c r="AL320" s="495"/>
      <c r="AM320" s="495"/>
      <c r="AN320" s="495"/>
      <c r="AO320" s="495"/>
    </row>
    <row r="321" spans="1:41" ht="12">
      <c r="A321" s="495"/>
      <c r="B321" s="495"/>
      <c r="C321" s="495"/>
      <c r="D321" s="495"/>
      <c r="E321" s="495"/>
      <c r="F321" s="495"/>
      <c r="G321" s="495"/>
      <c r="H321" s="495"/>
      <c r="I321" s="495"/>
      <c r="J321" s="495"/>
      <c r="K321" s="495"/>
      <c r="L321" s="495"/>
      <c r="M321" s="495"/>
      <c r="N321" s="495"/>
      <c r="O321" s="495"/>
      <c r="P321" s="495"/>
      <c r="Q321" s="495"/>
      <c r="R321" s="495"/>
      <c r="S321" s="495"/>
      <c r="T321" s="495"/>
      <c r="U321" s="495"/>
      <c r="V321" s="495"/>
      <c r="W321" s="495"/>
      <c r="X321" s="495"/>
      <c r="Y321" s="495"/>
      <c r="Z321" s="495"/>
      <c r="AA321" s="495"/>
      <c r="AB321" s="495"/>
      <c r="AC321" s="495"/>
      <c r="AD321" s="495"/>
      <c r="AE321" s="495"/>
      <c r="AF321" s="495"/>
      <c r="AG321" s="495"/>
      <c r="AH321" s="495"/>
      <c r="AI321" s="495"/>
      <c r="AJ321" s="495"/>
      <c r="AK321" s="495"/>
      <c r="AL321" s="495"/>
      <c r="AM321" s="495"/>
      <c r="AN321" s="495"/>
      <c r="AO321" s="495"/>
    </row>
    <row r="322" spans="1:41" ht="12">
      <c r="A322" s="495"/>
      <c r="B322" s="495"/>
      <c r="C322" s="495"/>
      <c r="D322" s="495"/>
      <c r="E322" s="495"/>
      <c r="F322" s="495"/>
      <c r="G322" s="495"/>
      <c r="H322" s="495"/>
      <c r="I322" s="495"/>
      <c r="J322" s="495"/>
      <c r="K322" s="495"/>
      <c r="L322" s="495"/>
      <c r="M322" s="495"/>
      <c r="N322" s="495"/>
      <c r="O322" s="495"/>
      <c r="P322" s="495"/>
      <c r="Q322" s="495"/>
      <c r="R322" s="495"/>
      <c r="S322" s="495"/>
      <c r="T322" s="495"/>
      <c r="U322" s="495"/>
      <c r="V322" s="495"/>
      <c r="W322" s="495"/>
      <c r="X322" s="495"/>
      <c r="Y322" s="495"/>
      <c r="Z322" s="495"/>
      <c r="AA322" s="495"/>
      <c r="AB322" s="495"/>
      <c r="AC322" s="495"/>
      <c r="AD322" s="495"/>
      <c r="AE322" s="495"/>
      <c r="AF322" s="495"/>
      <c r="AG322" s="495"/>
      <c r="AH322" s="495"/>
      <c r="AI322" s="495"/>
      <c r="AJ322" s="495"/>
      <c r="AK322" s="495"/>
      <c r="AL322" s="495"/>
      <c r="AM322" s="495"/>
      <c r="AN322" s="495"/>
      <c r="AO322" s="495"/>
    </row>
    <row r="323" spans="1:41" ht="12">
      <c r="A323" s="495"/>
      <c r="B323" s="495"/>
      <c r="C323" s="495"/>
      <c r="D323" s="495"/>
      <c r="E323" s="495"/>
      <c r="F323" s="495"/>
      <c r="G323" s="495"/>
      <c r="H323" s="495"/>
      <c r="I323" s="495"/>
      <c r="J323" s="495"/>
      <c r="K323" s="495"/>
      <c r="L323" s="495"/>
      <c r="M323" s="495"/>
      <c r="N323" s="495"/>
      <c r="O323" s="495"/>
      <c r="P323" s="495"/>
      <c r="Q323" s="495"/>
      <c r="R323" s="495"/>
      <c r="S323" s="495"/>
      <c r="T323" s="495"/>
      <c r="U323" s="495"/>
      <c r="V323" s="495"/>
      <c r="W323" s="495"/>
      <c r="X323" s="495"/>
      <c r="Y323" s="495"/>
      <c r="Z323" s="495"/>
      <c r="AA323" s="495"/>
      <c r="AB323" s="495"/>
      <c r="AC323" s="495"/>
      <c r="AD323" s="495"/>
      <c r="AE323" s="495"/>
      <c r="AF323" s="495"/>
      <c r="AG323" s="495"/>
      <c r="AH323" s="495"/>
      <c r="AI323" s="495"/>
      <c r="AJ323" s="495"/>
      <c r="AK323" s="495"/>
      <c r="AL323" s="495"/>
      <c r="AM323" s="495"/>
      <c r="AN323" s="495"/>
      <c r="AO323" s="495"/>
    </row>
    <row r="324" spans="1:41" ht="12">
      <c r="A324" s="495"/>
      <c r="B324" s="495"/>
      <c r="C324" s="495"/>
      <c r="D324" s="495"/>
      <c r="E324" s="495"/>
      <c r="F324" s="495"/>
      <c r="G324" s="495"/>
      <c r="H324" s="495"/>
      <c r="I324" s="495"/>
      <c r="J324" s="495"/>
      <c r="K324" s="495"/>
      <c r="L324" s="495"/>
      <c r="M324" s="495"/>
      <c r="N324" s="495"/>
      <c r="O324" s="495"/>
      <c r="P324" s="495"/>
      <c r="Q324" s="495"/>
      <c r="R324" s="495"/>
      <c r="S324" s="495"/>
      <c r="T324" s="495"/>
      <c r="U324" s="495"/>
      <c r="V324" s="495"/>
      <c r="W324" s="495"/>
      <c r="X324" s="495"/>
      <c r="Y324" s="495"/>
      <c r="Z324" s="495"/>
      <c r="AA324" s="495"/>
      <c r="AB324" s="495"/>
      <c r="AC324" s="495"/>
      <c r="AD324" s="495"/>
      <c r="AE324" s="495"/>
      <c r="AF324" s="495"/>
      <c r="AG324" s="495"/>
      <c r="AH324" s="495"/>
      <c r="AI324" s="495"/>
      <c r="AJ324" s="495"/>
      <c r="AK324" s="495"/>
      <c r="AL324" s="495"/>
      <c r="AM324" s="495"/>
      <c r="AN324" s="495"/>
      <c r="AO324" s="495"/>
    </row>
    <row r="325" spans="1:41" ht="12">
      <c r="A325" s="495"/>
      <c r="B325" s="495"/>
      <c r="C325" s="495"/>
      <c r="D325" s="495"/>
      <c r="E325" s="495"/>
      <c r="F325" s="495"/>
      <c r="G325" s="495"/>
      <c r="H325" s="495"/>
      <c r="I325" s="495"/>
      <c r="J325" s="495"/>
      <c r="K325" s="495"/>
      <c r="L325" s="495"/>
      <c r="M325" s="495"/>
      <c r="N325" s="495"/>
      <c r="O325" s="495"/>
      <c r="P325" s="495"/>
      <c r="Q325" s="495"/>
      <c r="R325" s="495"/>
      <c r="S325" s="495"/>
      <c r="T325" s="495"/>
      <c r="U325" s="495"/>
      <c r="V325" s="495"/>
      <c r="W325" s="495"/>
      <c r="X325" s="495"/>
      <c r="Y325" s="495"/>
      <c r="Z325" s="495"/>
      <c r="AA325" s="495"/>
      <c r="AB325" s="495"/>
      <c r="AC325" s="495"/>
      <c r="AD325" s="495"/>
      <c r="AE325" s="495"/>
      <c r="AF325" s="495"/>
      <c r="AG325" s="495"/>
      <c r="AH325" s="495"/>
      <c r="AI325" s="495"/>
      <c r="AJ325" s="495"/>
      <c r="AK325" s="495"/>
      <c r="AL325" s="495"/>
      <c r="AM325" s="495"/>
      <c r="AN325" s="495"/>
      <c r="AO325" s="495"/>
    </row>
    <row r="326" spans="1:41" ht="12">
      <c r="A326" s="495"/>
      <c r="B326" s="495"/>
      <c r="C326" s="495"/>
      <c r="D326" s="495"/>
      <c r="E326" s="495"/>
      <c r="F326" s="495"/>
      <c r="G326" s="495"/>
      <c r="H326" s="495"/>
      <c r="I326" s="495"/>
      <c r="J326" s="495"/>
      <c r="K326" s="495"/>
      <c r="L326" s="495"/>
      <c r="M326" s="495"/>
      <c r="N326" s="495"/>
      <c r="O326" s="495"/>
      <c r="P326" s="495"/>
      <c r="Q326" s="495"/>
      <c r="R326" s="495"/>
      <c r="S326" s="495"/>
      <c r="T326" s="495"/>
      <c r="U326" s="495"/>
      <c r="V326" s="495"/>
      <c r="W326" s="495"/>
      <c r="X326" s="495"/>
      <c r="Y326" s="495"/>
      <c r="Z326" s="495"/>
      <c r="AA326" s="495"/>
      <c r="AB326" s="495"/>
      <c r="AC326" s="495"/>
      <c r="AD326" s="495"/>
      <c r="AE326" s="495"/>
      <c r="AF326" s="495"/>
      <c r="AG326" s="495"/>
      <c r="AH326" s="495"/>
      <c r="AI326" s="495"/>
      <c r="AJ326" s="495"/>
      <c r="AK326" s="495"/>
      <c r="AL326" s="495"/>
      <c r="AM326" s="495"/>
      <c r="AN326" s="495"/>
      <c r="AO326" s="495"/>
    </row>
    <row r="327" spans="1:41" ht="12">
      <c r="A327" s="495"/>
      <c r="B327" s="495"/>
      <c r="C327" s="495"/>
      <c r="D327" s="495"/>
      <c r="E327" s="495"/>
      <c r="F327" s="495"/>
      <c r="G327" s="495"/>
      <c r="H327" s="495"/>
      <c r="I327" s="495"/>
      <c r="J327" s="495"/>
      <c r="K327" s="495"/>
      <c r="L327" s="495"/>
      <c r="M327" s="495"/>
      <c r="N327" s="495"/>
      <c r="O327" s="495"/>
      <c r="P327" s="495"/>
      <c r="Q327" s="495"/>
      <c r="R327" s="495"/>
      <c r="S327" s="495"/>
      <c r="T327" s="495"/>
      <c r="U327" s="495"/>
      <c r="V327" s="495"/>
      <c r="W327" s="495"/>
      <c r="X327" s="495"/>
      <c r="Y327" s="495"/>
      <c r="Z327" s="495"/>
      <c r="AA327" s="495"/>
      <c r="AB327" s="495"/>
      <c r="AC327" s="495"/>
      <c r="AD327" s="495"/>
      <c r="AE327" s="495"/>
      <c r="AF327" s="495"/>
      <c r="AG327" s="495"/>
      <c r="AH327" s="495"/>
      <c r="AI327" s="495"/>
      <c r="AJ327" s="495"/>
      <c r="AK327" s="495"/>
      <c r="AL327" s="495"/>
      <c r="AM327" s="495"/>
      <c r="AN327" s="495"/>
      <c r="AO327" s="495"/>
    </row>
    <row r="328" spans="1:41" ht="12">
      <c r="A328" s="495"/>
      <c r="B328" s="495"/>
      <c r="C328" s="495"/>
      <c r="D328" s="495"/>
      <c r="E328" s="495"/>
      <c r="F328" s="495"/>
      <c r="G328" s="495"/>
      <c r="H328" s="495"/>
      <c r="I328" s="495"/>
      <c r="J328" s="495"/>
      <c r="K328" s="495"/>
      <c r="L328" s="495"/>
      <c r="M328" s="495"/>
      <c r="N328" s="495"/>
      <c r="O328" s="495"/>
      <c r="P328" s="495"/>
      <c r="Q328" s="495"/>
      <c r="R328" s="495"/>
      <c r="S328" s="495"/>
      <c r="T328" s="495"/>
      <c r="U328" s="495"/>
      <c r="V328" s="495"/>
      <c r="W328" s="495"/>
      <c r="X328" s="495"/>
      <c r="Y328" s="495"/>
      <c r="Z328" s="495"/>
      <c r="AA328" s="495"/>
      <c r="AB328" s="495"/>
      <c r="AC328" s="495"/>
      <c r="AD328" s="495"/>
      <c r="AE328" s="495"/>
      <c r="AF328" s="495"/>
      <c r="AG328" s="495"/>
      <c r="AH328" s="495"/>
      <c r="AI328" s="495"/>
      <c r="AJ328" s="495"/>
      <c r="AK328" s="495"/>
      <c r="AL328" s="495"/>
      <c r="AM328" s="495"/>
      <c r="AN328" s="495"/>
      <c r="AO328" s="495"/>
    </row>
    <row r="329" spans="1:41" ht="12">
      <c r="A329" s="495"/>
      <c r="B329" s="495"/>
      <c r="C329" s="495"/>
      <c r="D329" s="495"/>
      <c r="E329" s="495"/>
      <c r="F329" s="495"/>
      <c r="G329" s="495"/>
      <c r="H329" s="495"/>
      <c r="I329" s="495"/>
      <c r="J329" s="495"/>
      <c r="K329" s="495"/>
      <c r="L329" s="495"/>
      <c r="M329" s="495"/>
      <c r="N329" s="495"/>
      <c r="O329" s="495"/>
      <c r="P329" s="495"/>
      <c r="Q329" s="495"/>
      <c r="R329" s="495"/>
      <c r="S329" s="495"/>
      <c r="T329" s="495"/>
      <c r="U329" s="495"/>
      <c r="V329" s="495"/>
      <c r="W329" s="495"/>
      <c r="X329" s="495"/>
      <c r="Y329" s="495"/>
      <c r="Z329" s="495"/>
      <c r="AA329" s="495"/>
      <c r="AB329" s="495"/>
      <c r="AC329" s="495"/>
      <c r="AD329" s="495"/>
      <c r="AE329" s="495"/>
      <c r="AF329" s="495"/>
      <c r="AG329" s="495"/>
      <c r="AH329" s="495"/>
      <c r="AI329" s="495"/>
      <c r="AJ329" s="495"/>
      <c r="AK329" s="495"/>
      <c r="AL329" s="495"/>
      <c r="AM329" s="495"/>
      <c r="AN329" s="495"/>
      <c r="AO329" s="495"/>
    </row>
    <row r="330" spans="1:41" ht="12">
      <c r="A330" s="495"/>
      <c r="B330" s="495"/>
      <c r="C330" s="495"/>
      <c r="D330" s="495"/>
      <c r="E330" s="495"/>
      <c r="F330" s="495"/>
      <c r="G330" s="495"/>
      <c r="H330" s="495"/>
      <c r="I330" s="495"/>
      <c r="J330" s="495"/>
      <c r="K330" s="495"/>
      <c r="L330" s="495"/>
      <c r="M330" s="495"/>
      <c r="N330" s="495"/>
      <c r="O330" s="495"/>
      <c r="P330" s="495"/>
      <c r="Q330" s="495"/>
      <c r="R330" s="495"/>
      <c r="S330" s="495"/>
      <c r="T330" s="495"/>
      <c r="U330" s="495"/>
      <c r="V330" s="495"/>
      <c r="W330" s="495"/>
      <c r="X330" s="495"/>
      <c r="Y330" s="495"/>
      <c r="Z330" s="495"/>
      <c r="AA330" s="495"/>
      <c r="AB330" s="495"/>
      <c r="AC330" s="495"/>
      <c r="AD330" s="495"/>
      <c r="AE330" s="495"/>
      <c r="AF330" s="495"/>
      <c r="AG330" s="495"/>
      <c r="AH330" s="495"/>
      <c r="AI330" s="495"/>
      <c r="AJ330" s="495"/>
      <c r="AK330" s="495"/>
      <c r="AL330" s="495"/>
      <c r="AM330" s="495"/>
      <c r="AN330" s="495"/>
      <c r="AO330" s="495"/>
    </row>
    <row r="331" spans="1:41" ht="12">
      <c r="A331" s="495"/>
      <c r="B331" s="495"/>
      <c r="C331" s="495"/>
      <c r="D331" s="495"/>
      <c r="E331" s="495"/>
      <c r="F331" s="495"/>
      <c r="G331" s="495"/>
      <c r="H331" s="495"/>
      <c r="I331" s="495"/>
      <c r="J331" s="495"/>
      <c r="K331" s="495"/>
      <c r="L331" s="495"/>
      <c r="M331" s="495"/>
      <c r="N331" s="495"/>
      <c r="O331" s="495"/>
      <c r="P331" s="495"/>
      <c r="Q331" s="495"/>
      <c r="R331" s="495"/>
      <c r="S331" s="495"/>
      <c r="T331" s="495"/>
      <c r="U331" s="495"/>
      <c r="V331" s="495"/>
      <c r="W331" s="495"/>
      <c r="X331" s="495"/>
      <c r="Y331" s="495"/>
      <c r="Z331" s="495"/>
      <c r="AA331" s="495"/>
      <c r="AB331" s="495"/>
      <c r="AC331" s="495"/>
      <c r="AD331" s="495"/>
      <c r="AE331" s="495"/>
      <c r="AF331" s="495"/>
      <c r="AG331" s="495"/>
      <c r="AH331" s="495"/>
      <c r="AI331" s="495"/>
      <c r="AJ331" s="495"/>
      <c r="AK331" s="495"/>
      <c r="AL331" s="495"/>
      <c r="AM331" s="495"/>
      <c r="AN331" s="495"/>
      <c r="AO331" s="495"/>
    </row>
    <row r="332" spans="1:41" ht="12">
      <c r="A332" s="495"/>
      <c r="B332" s="495"/>
      <c r="C332" s="495"/>
      <c r="D332" s="495"/>
      <c r="E332" s="495"/>
      <c r="F332" s="495"/>
      <c r="G332" s="495"/>
      <c r="H332" s="495"/>
      <c r="I332" s="495"/>
      <c r="J332" s="495"/>
      <c r="K332" s="495"/>
      <c r="L332" s="495"/>
      <c r="M332" s="495"/>
      <c r="N332" s="495"/>
      <c r="O332" s="495"/>
      <c r="P332" s="495"/>
      <c r="Q332" s="495"/>
      <c r="R332" s="495"/>
      <c r="S332" s="495"/>
      <c r="T332" s="495"/>
      <c r="U332" s="495"/>
      <c r="V332" s="495"/>
      <c r="W332" s="495"/>
      <c r="X332" s="495"/>
      <c r="Y332" s="495"/>
      <c r="Z332" s="495"/>
      <c r="AA332" s="495"/>
      <c r="AB332" s="495"/>
      <c r="AC332" s="495"/>
      <c r="AD332" s="495"/>
      <c r="AE332" s="495"/>
      <c r="AF332" s="495"/>
      <c r="AG332" s="495"/>
      <c r="AH332" s="495"/>
      <c r="AI332" s="495"/>
      <c r="AJ332" s="495"/>
      <c r="AK332" s="495"/>
      <c r="AL332" s="495"/>
      <c r="AM332" s="495"/>
      <c r="AN332" s="495"/>
      <c r="AO332" s="495"/>
    </row>
    <row r="333" spans="1:41" ht="12">
      <c r="A333" s="495"/>
      <c r="B333" s="495"/>
      <c r="C333" s="495"/>
      <c r="D333" s="495"/>
      <c r="E333" s="495"/>
      <c r="F333" s="495"/>
      <c r="G333" s="495"/>
      <c r="H333" s="495"/>
      <c r="I333" s="495"/>
      <c r="J333" s="495"/>
      <c r="K333" s="495"/>
      <c r="L333" s="495"/>
      <c r="M333" s="495"/>
      <c r="N333" s="495"/>
      <c r="O333" s="495"/>
      <c r="P333" s="495"/>
      <c r="Q333" s="495"/>
      <c r="R333" s="495"/>
      <c r="S333" s="495"/>
      <c r="T333" s="495"/>
      <c r="U333" s="495"/>
      <c r="V333" s="495"/>
      <c r="W333" s="495"/>
      <c r="X333" s="495"/>
      <c r="Y333" s="495"/>
      <c r="Z333" s="495"/>
      <c r="AA333" s="495"/>
      <c r="AB333" s="495"/>
      <c r="AC333" s="495"/>
      <c r="AD333" s="495"/>
      <c r="AE333" s="495"/>
      <c r="AF333" s="495"/>
      <c r="AG333" s="495"/>
      <c r="AH333" s="495"/>
      <c r="AI333" s="495"/>
      <c r="AJ333" s="495"/>
      <c r="AK333" s="495"/>
      <c r="AL333" s="495"/>
      <c r="AM333" s="495"/>
      <c r="AN333" s="495"/>
      <c r="AO333" s="495"/>
    </row>
  </sheetData>
  <sheetProtection password="D8FD" sheet="1"/>
  <hyperlinks>
    <hyperlink ref="F14" location="Contributivo!A1" display="Contributivo"/>
    <hyperlink ref="H14" location="CalcoloA!A1" display="CalcoloA"/>
    <hyperlink ref="J14" location="Determina!A1" display="Determina"/>
    <hyperlink ref="L14" location="Irpef!A1" display="irpef"/>
    <hyperlink ref="D14" location="Datipers!A1" display="Datipers"/>
  </hyperlinks>
  <printOptions/>
  <pageMargins left="0.7" right="0.7" top="0.75" bottom="0.75" header="0.3" footer="0.3"/>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codeName="Foglio10"/>
  <dimension ref="A1:AN71"/>
  <sheetViews>
    <sheetView zoomScalePageLayoutView="0" workbookViewId="0" topLeftCell="A1">
      <selection activeCell="G31" sqref="G31"/>
    </sheetView>
  </sheetViews>
  <sheetFormatPr defaultColWidth="9.140625" defaultRowHeight="12.75"/>
  <cols>
    <col min="1" max="2" width="4.57421875" style="0" customWidth="1"/>
    <col min="3" max="3" width="42.140625" style="0" customWidth="1"/>
    <col min="4" max="4" width="10.00390625" style="0" customWidth="1"/>
    <col min="5" max="5" width="10.28125" style="0" customWidth="1"/>
    <col min="7" max="7" width="12.00390625" style="0" bestFit="1" customWidth="1"/>
    <col min="8" max="8" width="4.8515625" style="0" customWidth="1"/>
    <col min="35" max="35" width="41.140625" style="0" customWidth="1"/>
  </cols>
  <sheetData>
    <row r="1" spans="1:18" ht="24.75">
      <c r="A1" s="8"/>
      <c r="B1" s="8"/>
      <c r="C1" s="524" t="s">
        <v>476</v>
      </c>
      <c r="D1" s="524"/>
      <c r="E1" s="8"/>
      <c r="F1" s="8"/>
      <c r="G1" s="8"/>
      <c r="H1" s="8"/>
      <c r="I1" s="8"/>
      <c r="J1" s="8"/>
      <c r="K1" s="8"/>
      <c r="L1" s="8"/>
      <c r="M1" s="8"/>
      <c r="N1" s="8"/>
      <c r="O1" s="8"/>
      <c r="P1" s="8"/>
      <c r="Q1" s="8"/>
      <c r="R1" s="8"/>
    </row>
    <row r="2" spans="1:18" ht="14.25" customHeight="1">
      <c r="A2" s="8"/>
      <c r="B2" s="8"/>
      <c r="C2" s="524"/>
      <c r="D2" s="524"/>
      <c r="E2" s="8"/>
      <c r="F2" s="572" t="s">
        <v>502</v>
      </c>
      <c r="G2" s="8"/>
      <c r="H2" s="8"/>
      <c r="I2" s="8"/>
      <c r="J2" s="8"/>
      <c r="K2" s="8"/>
      <c r="L2" s="8"/>
      <c r="M2" s="8"/>
      <c r="N2" s="8"/>
      <c r="O2" s="8"/>
      <c r="P2" s="8"/>
      <c r="Q2" s="8"/>
      <c r="R2" s="8"/>
    </row>
    <row r="3" spans="1:18" ht="12">
      <c r="A3" s="8"/>
      <c r="B3" s="8"/>
      <c r="C3" s="8"/>
      <c r="D3" s="8"/>
      <c r="E3" s="8"/>
      <c r="F3" s="572" t="s">
        <v>503</v>
      </c>
      <c r="G3" s="8"/>
      <c r="H3" s="8"/>
      <c r="I3" s="8"/>
      <c r="J3" s="8"/>
      <c r="K3" s="8"/>
      <c r="L3" s="8"/>
      <c r="M3" s="8"/>
      <c r="N3" s="8"/>
      <c r="O3" s="8"/>
      <c r="P3" s="8"/>
      <c r="Q3" s="8"/>
      <c r="R3" s="8"/>
    </row>
    <row r="4" spans="1:18" ht="12.75">
      <c r="A4" s="8"/>
      <c r="B4" s="83"/>
      <c r="C4" s="457" t="str">
        <f>CalcoloA!A4</f>
        <v>minapoli software</v>
      </c>
      <c r="D4" s="457"/>
      <c r="E4" s="83"/>
      <c r="F4" s="83"/>
      <c r="G4" s="83"/>
      <c r="H4" s="83"/>
      <c r="I4" s="8"/>
      <c r="J4" s="8"/>
      <c r="K4" s="8"/>
      <c r="L4" s="8"/>
      <c r="M4" s="8"/>
      <c r="N4" s="8"/>
      <c r="O4" s="8"/>
      <c r="P4" s="8"/>
      <c r="Q4" s="8"/>
      <c r="R4" s="8"/>
    </row>
    <row r="5" spans="1:18" ht="12">
      <c r="A5" s="8"/>
      <c r="B5" s="83"/>
      <c r="C5" s="83"/>
      <c r="D5" s="83"/>
      <c r="E5" s="83"/>
      <c r="F5" s="83"/>
      <c r="G5" s="83"/>
      <c r="H5" s="83"/>
      <c r="I5" s="8"/>
      <c r="J5" s="8"/>
      <c r="K5" s="8"/>
      <c r="L5" s="8"/>
      <c r="M5" s="8"/>
      <c r="N5" s="8"/>
      <c r="O5" s="8"/>
      <c r="P5" s="8"/>
      <c r="Q5" s="8"/>
      <c r="R5" s="8"/>
    </row>
    <row r="6" spans="1:18" ht="12.75">
      <c r="A6" s="8"/>
      <c r="B6" s="83"/>
      <c r="C6" s="463" t="s">
        <v>405</v>
      </c>
      <c r="D6" s="458"/>
      <c r="E6" s="83"/>
      <c r="F6" s="83"/>
      <c r="G6" s="83"/>
      <c r="H6" s="83"/>
      <c r="I6" s="8"/>
      <c r="J6" s="8"/>
      <c r="K6" s="8"/>
      <c r="L6" s="8"/>
      <c r="M6" s="8"/>
      <c r="N6" s="8"/>
      <c r="O6" s="8"/>
      <c r="P6" s="8"/>
      <c r="Q6" s="8"/>
      <c r="R6" s="8"/>
    </row>
    <row r="7" spans="1:18" ht="12.75">
      <c r="A7" s="8"/>
      <c r="B7" s="83"/>
      <c r="C7" s="463" t="s">
        <v>477</v>
      </c>
      <c r="D7" s="463"/>
      <c r="E7" s="83"/>
      <c r="F7" s="83"/>
      <c r="G7" s="83"/>
      <c r="H7" s="83"/>
      <c r="I7" s="8"/>
      <c r="J7" s="8"/>
      <c r="K7" s="8"/>
      <c r="L7" s="8"/>
      <c r="M7" s="8"/>
      <c r="N7" s="8"/>
      <c r="O7" s="8"/>
      <c r="P7" s="8"/>
      <c r="Q7" s="8"/>
      <c r="R7" s="8"/>
    </row>
    <row r="8" spans="1:18" ht="12">
      <c r="A8" s="8"/>
      <c r="B8" s="83"/>
      <c r="C8" s="83"/>
      <c r="D8" s="83"/>
      <c r="E8" s="83"/>
      <c r="F8" s="83"/>
      <c r="G8" s="83"/>
      <c r="H8" s="83"/>
      <c r="I8" s="8"/>
      <c r="J8" s="8"/>
      <c r="K8" s="8"/>
      <c r="L8" s="8"/>
      <c r="M8" s="8"/>
      <c r="N8" s="8"/>
      <c r="O8" s="8"/>
      <c r="P8" s="8"/>
      <c r="Q8" s="8"/>
      <c r="R8" s="8"/>
    </row>
    <row r="9" spans="1:18" ht="12">
      <c r="A9" s="8"/>
      <c r="B9" s="83"/>
      <c r="C9" s="83"/>
      <c r="D9" s="83"/>
      <c r="E9" s="83"/>
      <c r="F9" s="83"/>
      <c r="G9" s="83"/>
      <c r="H9" s="83"/>
      <c r="I9" s="8"/>
      <c r="J9" s="8"/>
      <c r="K9" s="8"/>
      <c r="L9" s="8"/>
      <c r="M9" s="8"/>
      <c r="N9" s="8"/>
      <c r="O9" s="8"/>
      <c r="P9" s="8"/>
      <c r="Q9" s="8"/>
      <c r="R9" s="8"/>
    </row>
    <row r="10" spans="1:18" ht="12">
      <c r="A10" s="8"/>
      <c r="B10" s="83"/>
      <c r="C10" s="83" t="str">
        <f>Datipers!A10</f>
        <v>BIANCHI BIANCA</v>
      </c>
      <c r="D10" s="83"/>
      <c r="E10" s="83"/>
      <c r="F10" s="83"/>
      <c r="G10" s="83"/>
      <c r="H10" s="83"/>
      <c r="I10" s="8"/>
      <c r="J10" s="8"/>
      <c r="K10" s="8"/>
      <c r="L10" s="8"/>
      <c r="M10" s="8"/>
      <c r="N10" s="8"/>
      <c r="O10" s="8"/>
      <c r="P10" s="8"/>
      <c r="Q10" s="8"/>
      <c r="R10" s="8"/>
    </row>
    <row r="11" spans="1:18" ht="12">
      <c r="A11" s="8"/>
      <c r="B11" s="83"/>
      <c r="C11" s="83" t="str">
        <f>Datipers!A13</f>
        <v>5 - Insegnante scuola elementare e materna</v>
      </c>
      <c r="D11" s="83"/>
      <c r="E11" s="83"/>
      <c r="F11" s="83"/>
      <c r="G11" s="83"/>
      <c r="H11" s="83"/>
      <c r="I11" s="8"/>
      <c r="J11" s="8"/>
      <c r="K11" s="8"/>
      <c r="L11" s="8"/>
      <c r="M11" s="8"/>
      <c r="N11" s="8"/>
      <c r="O11" s="8"/>
      <c r="P11" s="8"/>
      <c r="Q11" s="8"/>
      <c r="R11" s="8"/>
    </row>
    <row r="12" spans="1:18" ht="12">
      <c r="A12" s="8"/>
      <c r="B12" s="83"/>
      <c r="E12" s="83"/>
      <c r="F12" s="83"/>
      <c r="G12" s="83"/>
      <c r="H12" s="83"/>
      <c r="I12" s="8"/>
      <c r="J12" s="8"/>
      <c r="K12" s="8"/>
      <c r="L12" s="8"/>
      <c r="M12" s="8"/>
      <c r="N12" s="8"/>
      <c r="O12" s="8"/>
      <c r="P12" s="8"/>
      <c r="Q12" s="8"/>
      <c r="R12" s="8"/>
    </row>
    <row r="13" spans="1:18" ht="12">
      <c r="A13" s="8"/>
      <c r="B13" s="83"/>
      <c r="C13" s="83" t="s">
        <v>260</v>
      </c>
      <c r="D13" s="83"/>
      <c r="E13" s="462">
        <f>Datipers!C16</f>
        <v>42979</v>
      </c>
      <c r="F13" s="83"/>
      <c r="G13" s="83"/>
      <c r="H13" s="83"/>
      <c r="I13" s="8"/>
      <c r="J13" s="8"/>
      <c r="K13" s="8"/>
      <c r="L13" s="8"/>
      <c r="M13" s="8"/>
      <c r="N13" s="8"/>
      <c r="O13" s="8"/>
      <c r="P13" s="8"/>
      <c r="Q13" s="8"/>
      <c r="R13" s="8"/>
    </row>
    <row r="14" spans="1:18" ht="12">
      <c r="A14" s="8"/>
      <c r="B14" s="83"/>
      <c r="C14" s="83" t="s">
        <v>259</v>
      </c>
      <c r="D14" s="83"/>
      <c r="E14" s="462">
        <f>Datipers!C15</f>
        <v>19065</v>
      </c>
      <c r="F14" s="83"/>
      <c r="G14" s="83"/>
      <c r="H14" s="83"/>
      <c r="I14" s="8"/>
      <c r="J14" s="8"/>
      <c r="K14" s="8"/>
      <c r="L14" s="8"/>
      <c r="M14" s="8"/>
      <c r="N14" s="8"/>
      <c r="O14" s="8"/>
      <c r="P14" s="8"/>
      <c r="Q14" s="8"/>
      <c r="R14" s="8"/>
    </row>
    <row r="15" spans="1:18" ht="12">
      <c r="A15" s="8"/>
      <c r="B15" s="83"/>
      <c r="C15" s="83" t="s">
        <v>406</v>
      </c>
      <c r="D15" s="83"/>
      <c r="E15" s="464">
        <f>Datipers!B25</f>
        <v>28</v>
      </c>
      <c r="F15" s="83"/>
      <c r="G15" s="83"/>
      <c r="H15" s="83"/>
      <c r="I15" s="8"/>
      <c r="J15" s="8"/>
      <c r="K15" s="8"/>
      <c r="L15" s="8"/>
      <c r="M15" s="8"/>
      <c r="N15" s="8"/>
      <c r="O15" s="8"/>
      <c r="P15" s="8"/>
      <c r="Q15" s="8"/>
      <c r="R15" s="8"/>
    </row>
    <row r="16" spans="1:18" ht="12.75" thickBot="1">
      <c r="A16" s="8"/>
      <c r="B16" s="83"/>
      <c r="I16" s="8"/>
      <c r="J16" s="8"/>
      <c r="K16" s="8"/>
      <c r="L16" s="8"/>
      <c r="M16" s="8"/>
      <c r="N16" s="8"/>
      <c r="O16" s="8"/>
      <c r="P16" s="8"/>
      <c r="Q16" s="8"/>
      <c r="R16" s="8"/>
    </row>
    <row r="17" spans="1:18" ht="12">
      <c r="A17" s="8"/>
      <c r="B17" s="83"/>
      <c r="C17" s="527" t="s">
        <v>482</v>
      </c>
      <c r="D17" s="528"/>
      <c r="E17" s="528"/>
      <c r="F17" s="528"/>
      <c r="G17" s="529"/>
      <c r="I17" s="8"/>
      <c r="J17" s="8"/>
      <c r="K17" s="8"/>
      <c r="L17" s="8"/>
      <c r="M17" s="8"/>
      <c r="N17" s="8"/>
      <c r="O17" s="8"/>
      <c r="P17" s="8"/>
      <c r="Q17" s="8"/>
      <c r="R17" s="8"/>
    </row>
    <row r="18" spans="1:18" ht="12">
      <c r="A18" s="8"/>
      <c r="B18" s="83"/>
      <c r="C18" s="530" t="s">
        <v>478</v>
      </c>
      <c r="D18" s="531"/>
      <c r="E18" s="77"/>
      <c r="F18" s="77"/>
      <c r="G18" s="532">
        <f>CalcoloA!F18</f>
        <v>30826.321399999997</v>
      </c>
      <c r="H18" s="83"/>
      <c r="I18" s="8"/>
      <c r="J18" s="8"/>
      <c r="K18" s="8"/>
      <c r="L18" s="8"/>
      <c r="M18" s="8"/>
      <c r="N18" s="8"/>
      <c r="O18" s="8"/>
      <c r="P18" s="8"/>
      <c r="Q18" s="8"/>
      <c r="R18" s="8"/>
    </row>
    <row r="19" spans="1:18" ht="12">
      <c r="A19" s="8"/>
      <c r="B19" s="83"/>
      <c r="C19" s="530" t="s">
        <v>480</v>
      </c>
      <c r="D19" s="531">
        <f>CalcoloA!D20</f>
        <v>17</v>
      </c>
      <c r="E19" s="77">
        <f>CalcoloA!E20</f>
        <v>11</v>
      </c>
      <c r="F19" s="533">
        <f>CalcoloA!D21</f>
        <v>0.4025</v>
      </c>
      <c r="G19" s="534"/>
      <c r="H19" s="83"/>
      <c r="I19" s="8"/>
      <c r="J19" s="8"/>
      <c r="K19" s="8"/>
      <c r="L19" s="8"/>
      <c r="M19" s="8"/>
      <c r="N19" s="8"/>
      <c r="O19" s="8"/>
      <c r="P19" s="8"/>
      <c r="Q19" s="8"/>
      <c r="R19" s="8"/>
    </row>
    <row r="20" spans="1:18" ht="12.75">
      <c r="A20" s="8"/>
      <c r="B20" s="83"/>
      <c r="C20" s="536" t="s">
        <v>384</v>
      </c>
      <c r="D20" s="531"/>
      <c r="E20" s="533"/>
      <c r="F20" s="537"/>
      <c r="G20" s="532">
        <f>CalcoloA!F23</f>
        <v>12407.5943635</v>
      </c>
      <c r="H20" s="83"/>
      <c r="I20" s="8"/>
      <c r="J20" s="8"/>
      <c r="K20" s="8"/>
      <c r="L20" s="8"/>
      <c r="M20" s="8"/>
      <c r="N20" s="8"/>
      <c r="O20" s="8"/>
      <c r="P20" s="8"/>
      <c r="Q20" s="8"/>
      <c r="R20" s="8"/>
    </row>
    <row r="21" spans="1:18" ht="12.75">
      <c r="A21" s="8"/>
      <c r="B21" s="83"/>
      <c r="C21" s="538"/>
      <c r="D21" s="539"/>
      <c r="E21" s="178"/>
      <c r="F21" s="178"/>
      <c r="G21" s="540"/>
      <c r="H21" s="83"/>
      <c r="I21" s="8"/>
      <c r="J21" s="8"/>
      <c r="K21" s="8"/>
      <c r="L21" s="8"/>
      <c r="M21" s="8"/>
      <c r="N21" s="8"/>
      <c r="O21" s="8"/>
      <c r="P21" s="8"/>
      <c r="Q21" s="8"/>
      <c r="R21" s="8"/>
    </row>
    <row r="22" spans="1:18" ht="12">
      <c r="A22" s="8"/>
      <c r="B22" s="83"/>
      <c r="C22" s="530" t="s">
        <v>479</v>
      </c>
      <c r="D22" s="531"/>
      <c r="E22" s="77"/>
      <c r="F22" s="533"/>
      <c r="G22" s="532">
        <f>CalcoloA!F26</f>
        <v>31273.02461958101</v>
      </c>
      <c r="H22" s="83"/>
      <c r="I22" s="8"/>
      <c r="J22" s="8"/>
      <c r="K22" s="8"/>
      <c r="L22" s="8"/>
      <c r="M22" s="8"/>
      <c r="N22" s="8"/>
      <c r="O22" s="8"/>
      <c r="P22" s="8"/>
      <c r="Q22" s="8"/>
      <c r="R22" s="8"/>
    </row>
    <row r="23" spans="1:18" ht="12">
      <c r="A23" s="8"/>
      <c r="B23" s="83"/>
      <c r="C23" s="530" t="s">
        <v>481</v>
      </c>
      <c r="D23" s="531">
        <f>CalcoloA!D28</f>
        <v>22</v>
      </c>
      <c r="E23" s="77">
        <f>CalcoloA!E28</f>
        <v>11</v>
      </c>
      <c r="F23" s="533">
        <f>CalcoloA!D30</f>
        <v>0.08999999999999997</v>
      </c>
      <c r="G23" s="532"/>
      <c r="H23" s="83"/>
      <c r="I23" s="8"/>
      <c r="J23" s="8"/>
      <c r="K23" s="8"/>
      <c r="L23" s="8"/>
      <c r="M23" s="8"/>
      <c r="N23" s="8"/>
      <c r="O23" s="8"/>
      <c r="P23" s="8"/>
      <c r="Q23" s="8"/>
      <c r="R23" s="8"/>
    </row>
    <row r="24" spans="1:18" ht="12">
      <c r="A24" s="8"/>
      <c r="B24" s="83"/>
      <c r="C24" s="530" t="s">
        <v>483</v>
      </c>
      <c r="D24" s="531"/>
      <c r="E24" s="77"/>
      <c r="F24" s="77"/>
      <c r="G24" s="532">
        <f>CalcoloA!F31</f>
        <v>2814.57221576229</v>
      </c>
      <c r="H24" s="83"/>
      <c r="I24" s="8"/>
      <c r="J24" s="8"/>
      <c r="K24" s="8"/>
      <c r="L24" s="8"/>
      <c r="M24" s="8"/>
      <c r="N24" s="8"/>
      <c r="O24" s="8"/>
      <c r="P24" s="8"/>
      <c r="Q24" s="8"/>
      <c r="R24" s="8"/>
    </row>
    <row r="25" spans="1:18" ht="12">
      <c r="A25" s="8"/>
      <c r="B25" s="83"/>
      <c r="C25" s="530" t="s">
        <v>484</v>
      </c>
      <c r="D25" s="531"/>
      <c r="E25" s="533"/>
      <c r="F25" s="537"/>
      <c r="G25" s="532">
        <f>CalcoloA!F34</f>
        <v>31273.02461958101</v>
      </c>
      <c r="H25" s="83"/>
      <c r="I25" s="8"/>
      <c r="J25" s="8"/>
      <c r="K25" s="8"/>
      <c r="L25" s="8"/>
      <c r="M25" s="8"/>
      <c r="N25" s="8"/>
      <c r="O25" s="8"/>
      <c r="P25" s="8"/>
      <c r="Q25" s="8"/>
      <c r="R25" s="8"/>
    </row>
    <row r="26" spans="1:18" ht="12">
      <c r="A26" s="8"/>
      <c r="B26" s="83"/>
      <c r="C26" s="530" t="s">
        <v>485</v>
      </c>
      <c r="D26" s="531"/>
      <c r="E26" s="533"/>
      <c r="F26" s="533">
        <f>CalcoloA!D35</f>
        <v>0.25200000000000017</v>
      </c>
      <c r="G26" s="532"/>
      <c r="H26" s="83"/>
      <c r="I26" s="8"/>
      <c r="J26" s="8"/>
      <c r="K26" s="8"/>
      <c r="L26" s="8"/>
      <c r="M26" s="8"/>
      <c r="N26" s="8"/>
      <c r="O26" s="8"/>
      <c r="P26" s="8"/>
      <c r="Q26" s="8"/>
      <c r="R26" s="8"/>
    </row>
    <row r="27" spans="1:18" ht="12">
      <c r="A27" s="8"/>
      <c r="B27" s="83"/>
      <c r="C27" s="530" t="s">
        <v>486</v>
      </c>
      <c r="D27" s="531"/>
      <c r="E27" s="77"/>
      <c r="F27" s="77"/>
      <c r="G27" s="532">
        <f>CalcoloA!F36</f>
        <v>7880.80220413442</v>
      </c>
      <c r="H27" s="83"/>
      <c r="I27" s="8"/>
      <c r="J27" s="8"/>
      <c r="K27" s="8"/>
      <c r="L27" s="8"/>
      <c r="M27" s="8"/>
      <c r="N27" s="8"/>
      <c r="O27" s="8"/>
      <c r="P27" s="8"/>
      <c r="Q27" s="8"/>
      <c r="R27" s="8"/>
    </row>
    <row r="28" spans="1:18" ht="12.75">
      <c r="A28" s="8"/>
      <c r="B28" s="83"/>
      <c r="C28" s="536" t="s">
        <v>487</v>
      </c>
      <c r="D28" s="531"/>
      <c r="E28" s="77"/>
      <c r="F28" s="77"/>
      <c r="G28" s="540">
        <f>CalcoloA!F37</f>
        <v>10695.37441989671</v>
      </c>
      <c r="H28" s="83"/>
      <c r="I28" s="8"/>
      <c r="J28" s="8"/>
      <c r="K28" s="8"/>
      <c r="L28" s="8"/>
      <c r="M28" s="8"/>
      <c r="N28" s="8"/>
      <c r="O28" s="8"/>
      <c r="P28" s="8"/>
      <c r="Q28" s="8"/>
      <c r="R28" s="8"/>
    </row>
    <row r="29" spans="1:18" ht="12">
      <c r="A29" s="8"/>
      <c r="B29" s="83"/>
      <c r="C29" s="530"/>
      <c r="D29" s="531"/>
      <c r="E29" s="77"/>
      <c r="F29" s="77"/>
      <c r="G29" s="532"/>
      <c r="H29" s="83"/>
      <c r="I29" s="8"/>
      <c r="J29" s="8"/>
      <c r="K29" s="8"/>
      <c r="L29" s="8"/>
      <c r="M29" s="8"/>
      <c r="N29" s="8"/>
      <c r="O29" s="8"/>
      <c r="P29" s="8"/>
      <c r="Q29" s="8"/>
      <c r="R29" s="8"/>
    </row>
    <row r="30" spans="1:18" ht="12">
      <c r="A30" s="8"/>
      <c r="B30" s="83"/>
      <c r="C30" s="530" t="s">
        <v>399</v>
      </c>
      <c r="D30" s="541">
        <f>CalcoloA!D41</f>
        <v>65</v>
      </c>
      <c r="E30" s="541">
        <f>CalcoloA!E41</f>
        <v>6</v>
      </c>
      <c r="F30" s="537"/>
      <c r="G30" s="532"/>
      <c r="H30" s="83"/>
      <c r="I30" s="8"/>
      <c r="J30" s="8"/>
      <c r="K30" s="8"/>
      <c r="L30" s="8"/>
      <c r="M30" s="8"/>
      <c r="N30" s="8"/>
      <c r="O30" s="8"/>
      <c r="P30" s="8"/>
      <c r="Q30" s="8"/>
      <c r="R30" s="8"/>
    </row>
    <row r="31" spans="1:18" ht="12">
      <c r="A31" s="8"/>
      <c r="B31" s="83"/>
      <c r="C31" s="530" t="s">
        <v>270</v>
      </c>
      <c r="D31" s="531"/>
      <c r="E31" s="212">
        <f>CalcoloA!F46</f>
        <v>60543.48006114382</v>
      </c>
      <c r="F31" s="77"/>
      <c r="G31" s="532"/>
      <c r="H31" s="83"/>
      <c r="I31" s="8"/>
      <c r="J31" s="8"/>
      <c r="K31" s="8"/>
      <c r="L31" s="8"/>
      <c r="M31" s="8"/>
      <c r="N31" s="8"/>
      <c r="O31" s="8"/>
      <c r="P31" s="8"/>
      <c r="Q31" s="8"/>
      <c r="R31" s="8"/>
    </row>
    <row r="32" spans="1:18" ht="12.75">
      <c r="A32" s="8"/>
      <c r="B32" s="83"/>
      <c r="C32" s="530" t="s">
        <v>256</v>
      </c>
      <c r="D32" s="539"/>
      <c r="E32" s="212">
        <f>CalcoloA!D47</f>
        <v>5.4159999999999995</v>
      </c>
      <c r="F32" s="178"/>
      <c r="G32" s="540"/>
      <c r="H32" s="83"/>
      <c r="I32" s="8"/>
      <c r="J32" s="8"/>
      <c r="K32" s="8"/>
      <c r="L32" s="8"/>
      <c r="M32" s="8"/>
      <c r="N32" s="8"/>
      <c r="O32" s="8"/>
      <c r="P32" s="8"/>
      <c r="Q32" s="8"/>
      <c r="R32" s="8"/>
    </row>
    <row r="33" spans="1:18" ht="12.75">
      <c r="A33" s="8"/>
      <c r="B33" s="83"/>
      <c r="C33" s="536" t="s">
        <v>402</v>
      </c>
      <c r="D33" s="542"/>
      <c r="E33" s="77"/>
      <c r="F33" s="77"/>
      <c r="G33" s="540">
        <f>CalcoloA!F48</f>
        <v>3026.8014277952757</v>
      </c>
      <c r="H33" s="83"/>
      <c r="I33" s="8"/>
      <c r="J33" s="8"/>
      <c r="K33" s="8"/>
      <c r="L33" s="8"/>
      <c r="M33" s="8"/>
      <c r="N33" s="8"/>
      <c r="O33" s="8"/>
      <c r="P33" s="8"/>
      <c r="Q33" s="8"/>
      <c r="R33" s="8"/>
    </row>
    <row r="34" spans="1:18" ht="13.5" thickBot="1">
      <c r="A34" s="8"/>
      <c r="B34" s="83"/>
      <c r="C34" s="543" t="s">
        <v>539</v>
      </c>
      <c r="D34" s="535"/>
      <c r="E34" s="544"/>
      <c r="F34" s="544"/>
      <c r="G34" s="545">
        <f>G20+G28+G33</f>
        <v>26129.770211191986</v>
      </c>
      <c r="H34" s="83"/>
      <c r="I34" s="8"/>
      <c r="J34" s="8"/>
      <c r="K34" s="8"/>
      <c r="L34" s="8"/>
      <c r="M34" s="8"/>
      <c r="N34" s="8"/>
      <c r="O34" s="8"/>
      <c r="P34" s="8"/>
      <c r="Q34" s="8"/>
      <c r="R34" s="8"/>
    </row>
    <row r="35" spans="1:18" ht="12.75" thickBot="1">
      <c r="A35" s="8"/>
      <c r="B35" s="83"/>
      <c r="C35" s="576"/>
      <c r="D35" s="576"/>
      <c r="E35" s="576"/>
      <c r="F35" s="576"/>
      <c r="G35" s="576"/>
      <c r="H35" s="83"/>
      <c r="I35" s="8"/>
      <c r="J35" s="8"/>
      <c r="K35" s="8"/>
      <c r="L35" s="8"/>
      <c r="M35" s="8"/>
      <c r="N35" s="8"/>
      <c r="O35" s="8"/>
      <c r="P35" s="8"/>
      <c r="Q35" s="8"/>
      <c r="R35" s="8"/>
    </row>
    <row r="36" spans="1:18" ht="12">
      <c r="A36" s="8"/>
      <c r="B36" s="83"/>
      <c r="C36" s="546" t="s">
        <v>488</v>
      </c>
      <c r="D36" s="547"/>
      <c r="E36" s="548"/>
      <c r="F36" s="528"/>
      <c r="G36" s="549"/>
      <c r="H36" s="83"/>
      <c r="I36" s="8"/>
      <c r="J36" s="8"/>
      <c r="K36" s="8"/>
      <c r="L36" s="8"/>
      <c r="M36" s="8"/>
      <c r="N36" s="8"/>
      <c r="O36" s="8"/>
      <c r="P36" s="8"/>
      <c r="Q36" s="8"/>
      <c r="R36" s="8"/>
    </row>
    <row r="37" spans="1:18" ht="12">
      <c r="A37" s="8"/>
      <c r="B37" s="83"/>
      <c r="C37" s="530"/>
      <c r="D37" s="531"/>
      <c r="E37" s="77"/>
      <c r="F37" s="77"/>
      <c r="G37" s="550"/>
      <c r="H37" s="83"/>
      <c r="I37" s="8"/>
      <c r="J37" s="8"/>
      <c r="K37" s="8"/>
      <c r="L37" s="8"/>
      <c r="M37" s="8"/>
      <c r="N37" s="8"/>
      <c r="O37" s="8"/>
      <c r="P37" s="8"/>
      <c r="Q37" s="8"/>
      <c r="R37" s="8"/>
    </row>
    <row r="38" spans="1:18" ht="12">
      <c r="A38" s="8"/>
      <c r="B38" s="83"/>
      <c r="C38" s="599" t="s">
        <v>544</v>
      </c>
      <c r="D38" s="207"/>
      <c r="E38" s="597">
        <f>CalcoloB!D9</f>
        <v>42</v>
      </c>
      <c r="F38" s="598">
        <f>CalcoloB!E9</f>
        <v>7</v>
      </c>
      <c r="G38" s="600">
        <f>CalcoloB!D10</f>
        <v>0.8465</v>
      </c>
      <c r="H38" s="83"/>
      <c r="I38" s="8"/>
      <c r="J38" s="8"/>
      <c r="K38" s="8"/>
      <c r="L38" s="8"/>
      <c r="M38" s="8"/>
      <c r="N38" s="8"/>
      <c r="O38" s="8"/>
      <c r="P38" s="8"/>
      <c r="Q38" s="8"/>
      <c r="R38" s="8"/>
    </row>
    <row r="39" spans="1:18" ht="12">
      <c r="A39" s="8"/>
      <c r="B39" s="83"/>
      <c r="C39" s="530"/>
      <c r="D39" s="531"/>
      <c r="E39" s="77"/>
      <c r="F39" s="77"/>
      <c r="G39" s="550"/>
      <c r="H39" s="83"/>
      <c r="I39" s="8"/>
      <c r="J39" s="8"/>
      <c r="K39" s="8"/>
      <c r="L39" s="8"/>
      <c r="M39" s="8"/>
      <c r="N39" s="8"/>
      <c r="O39" s="8"/>
      <c r="P39" s="8"/>
      <c r="Q39" s="8"/>
      <c r="R39" s="8"/>
    </row>
    <row r="40" spans="1:18" ht="12">
      <c r="A40" s="8"/>
      <c r="B40" s="83"/>
      <c r="C40" s="551" t="s">
        <v>489</v>
      </c>
      <c r="D40" s="552"/>
      <c r="E40" s="553"/>
      <c r="F40" s="553"/>
      <c r="G40" s="554">
        <f>CalcoloB!F23</f>
        <v>12407.5943635</v>
      </c>
      <c r="H40" s="83"/>
      <c r="I40" s="8"/>
      <c r="J40" s="8"/>
      <c r="K40" s="8"/>
      <c r="L40" s="8"/>
      <c r="M40" s="8"/>
      <c r="N40" s="8"/>
      <c r="O40" s="8"/>
      <c r="P40" s="8"/>
      <c r="Q40" s="8"/>
      <c r="R40" s="8"/>
    </row>
    <row r="41" spans="1:18" ht="12.75">
      <c r="A41" s="8"/>
      <c r="B41" s="83"/>
      <c r="C41" s="551" t="s">
        <v>490</v>
      </c>
      <c r="D41" s="539"/>
      <c r="E41" s="178"/>
      <c r="F41" s="178"/>
      <c r="G41" s="554">
        <f>CalcoloB!F31</f>
        <v>2814.57221576229</v>
      </c>
      <c r="H41" s="83"/>
      <c r="I41" s="8"/>
      <c r="J41" s="8"/>
      <c r="K41" s="8"/>
      <c r="L41" s="8"/>
      <c r="M41" s="8"/>
      <c r="N41" s="8"/>
      <c r="O41" s="8"/>
      <c r="P41" s="8"/>
      <c r="Q41" s="8"/>
      <c r="R41" s="8"/>
    </row>
    <row r="42" spans="1:18" ht="12.75">
      <c r="A42" s="8"/>
      <c r="B42" s="83"/>
      <c r="C42" s="551" t="s">
        <v>491</v>
      </c>
      <c r="D42" s="555">
        <f>G25</f>
        <v>31273.02461958101</v>
      </c>
      <c r="E42" s="556">
        <f>CalcoloB!D35</f>
        <v>0.35400000000000004</v>
      </c>
      <c r="F42" s="178"/>
      <c r="G42" s="540"/>
      <c r="H42" s="83"/>
      <c r="I42" s="8"/>
      <c r="J42" s="8"/>
      <c r="K42" s="8"/>
      <c r="L42" s="8"/>
      <c r="M42" s="8"/>
      <c r="N42" s="8"/>
      <c r="O42" s="8"/>
      <c r="P42" s="8"/>
      <c r="Q42" s="8"/>
      <c r="R42" s="8"/>
    </row>
    <row r="43" spans="1:18" ht="12.75">
      <c r="A43" s="8"/>
      <c r="B43" s="83"/>
      <c r="C43" s="551" t="s">
        <v>492</v>
      </c>
      <c r="D43" s="539"/>
      <c r="E43" s="178"/>
      <c r="F43" s="178"/>
      <c r="G43" s="554">
        <f>CalcoloB!F36</f>
        <v>11070.65071533168</v>
      </c>
      <c r="H43" s="83"/>
      <c r="I43" s="8"/>
      <c r="J43" s="8"/>
      <c r="K43" s="8"/>
      <c r="L43" s="8"/>
      <c r="M43" s="8"/>
      <c r="N43" s="8"/>
      <c r="O43" s="8"/>
      <c r="P43" s="8"/>
      <c r="Q43" s="8"/>
      <c r="R43" s="8"/>
    </row>
    <row r="44" spans="1:18" ht="13.5" thickBot="1">
      <c r="A44" s="8"/>
      <c r="B44" s="83"/>
      <c r="C44" s="543" t="s">
        <v>540</v>
      </c>
      <c r="D44" s="535"/>
      <c r="E44" s="544"/>
      <c r="F44" s="544"/>
      <c r="G44" s="545">
        <f>G40+G41+G43</f>
        <v>26292.81729459397</v>
      </c>
      <c r="H44" s="83"/>
      <c r="I44" s="8"/>
      <c r="J44" s="8"/>
      <c r="K44" s="8"/>
      <c r="L44" s="8"/>
      <c r="M44" s="8"/>
      <c r="N44" s="8"/>
      <c r="O44" s="8"/>
      <c r="P44" s="8"/>
      <c r="Q44" s="8"/>
      <c r="R44" s="8"/>
    </row>
    <row r="45" spans="1:18" ht="13.5" thickBot="1">
      <c r="A45" s="8"/>
      <c r="B45" s="83"/>
      <c r="C45" s="536"/>
      <c r="D45" s="539"/>
      <c r="E45" s="178"/>
      <c r="F45" s="178"/>
      <c r="G45" s="540"/>
      <c r="H45" s="83"/>
      <c r="I45" s="8"/>
      <c r="J45" s="8"/>
      <c r="K45" s="8"/>
      <c r="L45" s="8"/>
      <c r="M45" s="8"/>
      <c r="N45" s="8"/>
      <c r="O45" s="8"/>
      <c r="P45" s="8"/>
      <c r="Q45" s="8"/>
      <c r="R45" s="8"/>
    </row>
    <row r="46" spans="1:18" ht="18" customHeight="1">
      <c r="A46" s="8"/>
      <c r="B46" s="83"/>
      <c r="C46" s="564" t="s">
        <v>541</v>
      </c>
      <c r="D46" s="565"/>
      <c r="E46" s="566"/>
      <c r="F46" s="723">
        <f>IF(G44&lt;G34,G44,G34)</f>
        <v>26129.770211191986</v>
      </c>
      <c r="G46" s="724"/>
      <c r="H46" s="83"/>
      <c r="I46" s="8"/>
      <c r="J46" s="8"/>
      <c r="K46" s="8"/>
      <c r="L46" s="8"/>
      <c r="M46" s="8"/>
      <c r="N46" s="8"/>
      <c r="O46" s="8"/>
      <c r="P46" s="8"/>
      <c r="Q46" s="8"/>
      <c r="R46" s="8"/>
    </row>
    <row r="47" spans="1:18" ht="12.75">
      <c r="A47" s="8"/>
      <c r="B47" s="83"/>
      <c r="C47" s="559"/>
      <c r="D47" s="539"/>
      <c r="E47" s="178"/>
      <c r="F47" s="178"/>
      <c r="G47" s="540"/>
      <c r="H47" s="83"/>
      <c r="I47" s="8"/>
      <c r="J47" s="8"/>
      <c r="K47" s="8"/>
      <c r="L47" s="8"/>
      <c r="M47" s="8"/>
      <c r="N47" s="8"/>
      <c r="O47" s="8"/>
      <c r="P47" s="8"/>
      <c r="Q47" s="8"/>
      <c r="R47" s="8"/>
    </row>
    <row r="48" spans="1:18" ht="12">
      <c r="A48" s="8"/>
      <c r="B48" s="83"/>
      <c r="C48" s="551" t="s">
        <v>494</v>
      </c>
      <c r="D48" s="552"/>
      <c r="E48" s="553"/>
      <c r="F48" s="553"/>
      <c r="G48" s="554">
        <f>F46/12</f>
        <v>2177.4808509326654</v>
      </c>
      <c r="H48" s="83"/>
      <c r="I48" s="8"/>
      <c r="J48" s="8"/>
      <c r="K48" s="8"/>
      <c r="L48" s="8"/>
      <c r="M48" s="8"/>
      <c r="N48" s="8"/>
      <c r="O48" s="8"/>
      <c r="P48" s="8"/>
      <c r="Q48" s="8"/>
      <c r="R48" s="8"/>
    </row>
    <row r="49" spans="1:18" ht="12.75">
      <c r="A49" s="8"/>
      <c r="B49" s="83"/>
      <c r="C49" s="536" t="s">
        <v>495</v>
      </c>
      <c r="D49" s="560"/>
      <c r="E49" s="553"/>
      <c r="F49" s="552">
        <f>Irpef!J21</f>
        <v>537.92</v>
      </c>
      <c r="G49" s="554">
        <f>F49-D50-E50</f>
        <v>468.1316666666666</v>
      </c>
      <c r="H49" s="83"/>
      <c r="I49" s="8"/>
      <c r="J49" s="8"/>
      <c r="K49" s="8"/>
      <c r="L49" s="8"/>
      <c r="M49" s="8"/>
      <c r="N49" s="8"/>
      <c r="O49" s="8"/>
      <c r="P49" s="8"/>
      <c r="Q49" s="8"/>
      <c r="R49" s="8"/>
    </row>
    <row r="50" spans="1:18" ht="12.75">
      <c r="A50" s="8"/>
      <c r="B50" s="83"/>
      <c r="C50" s="536" t="s">
        <v>496</v>
      </c>
      <c r="D50" s="555">
        <f>Irpef!K23</f>
        <v>69.78833333333334</v>
      </c>
      <c r="E50" s="561">
        <f>Irpef!K24</f>
        <v>0</v>
      </c>
      <c r="F50" s="553"/>
      <c r="G50" s="540"/>
      <c r="H50" s="83"/>
      <c r="I50" s="8"/>
      <c r="J50" s="8"/>
      <c r="K50" s="8"/>
      <c r="L50" s="8"/>
      <c r="M50" s="8"/>
      <c r="N50" s="8"/>
      <c r="O50" s="8"/>
      <c r="P50" s="8"/>
      <c r="Q50" s="8"/>
      <c r="R50" s="8"/>
    </row>
    <row r="51" spans="1:18" ht="15.75" thickBot="1">
      <c r="A51" s="8"/>
      <c r="B51" s="83"/>
      <c r="C51" s="557" t="s">
        <v>497</v>
      </c>
      <c r="D51" s="562"/>
      <c r="E51" s="563"/>
      <c r="F51" s="563"/>
      <c r="G51" s="558">
        <f>G48-G49</f>
        <v>1709.3491842659987</v>
      </c>
      <c r="H51" s="83"/>
      <c r="I51" s="8"/>
      <c r="J51" s="8"/>
      <c r="K51" s="8"/>
      <c r="L51" s="8"/>
      <c r="M51" s="8"/>
      <c r="N51" s="8"/>
      <c r="O51" s="8"/>
      <c r="P51" s="8"/>
      <c r="Q51" s="8"/>
      <c r="R51" s="8"/>
    </row>
    <row r="52" spans="1:18" ht="12.75">
      <c r="A52" s="8"/>
      <c r="B52" s="83"/>
      <c r="C52" s="525"/>
      <c r="D52" s="525"/>
      <c r="E52" s="457"/>
      <c r="F52" s="457"/>
      <c r="G52" s="459"/>
      <c r="H52" s="83"/>
      <c r="I52" s="8"/>
      <c r="J52" s="8"/>
      <c r="K52" s="8"/>
      <c r="L52" s="8"/>
      <c r="M52" s="8"/>
      <c r="N52" s="8"/>
      <c r="O52" s="8"/>
      <c r="P52" s="8"/>
      <c r="Q52" s="8"/>
      <c r="R52" s="8"/>
    </row>
    <row r="53" spans="1:18" ht="12.75">
      <c r="A53" s="8"/>
      <c r="B53" s="83"/>
      <c r="C53" s="721" t="s">
        <v>538</v>
      </c>
      <c r="D53" s="721"/>
      <c r="E53" s="721"/>
      <c r="F53" s="721"/>
      <c r="G53" s="721"/>
      <c r="H53" s="83"/>
      <c r="I53" s="8"/>
      <c r="J53" s="8"/>
      <c r="K53" s="8"/>
      <c r="L53" s="8"/>
      <c r="M53" s="8"/>
      <c r="N53" s="8"/>
      <c r="O53" s="8"/>
      <c r="P53" s="8"/>
      <c r="Q53" s="8"/>
      <c r="R53" s="8"/>
    </row>
    <row r="54" spans="1:18" ht="12.75">
      <c r="A54" s="8"/>
      <c r="B54" s="83"/>
      <c r="C54" s="722" t="s">
        <v>537</v>
      </c>
      <c r="D54" s="722"/>
      <c r="E54" s="722"/>
      <c r="F54" s="722"/>
      <c r="G54" s="722"/>
      <c r="H54" s="83"/>
      <c r="I54" s="8"/>
      <c r="J54" s="8"/>
      <c r="K54" s="8"/>
      <c r="L54" s="8"/>
      <c r="M54" s="8"/>
      <c r="N54" s="8"/>
      <c r="O54" s="8"/>
      <c r="P54" s="8"/>
      <c r="Q54" s="8"/>
      <c r="R54" s="8"/>
    </row>
    <row r="55" spans="1:18" ht="12">
      <c r="A55" s="8"/>
      <c r="B55" s="83"/>
      <c r="C55" s="576"/>
      <c r="D55" s="576"/>
      <c r="E55" s="576"/>
      <c r="F55" s="576"/>
      <c r="G55" s="576"/>
      <c r="H55" s="83"/>
      <c r="I55" s="8"/>
      <c r="J55" s="8"/>
      <c r="K55" s="8"/>
      <c r="L55" s="8"/>
      <c r="M55" s="8"/>
      <c r="N55" s="8"/>
      <c r="O55" s="8"/>
      <c r="P55" s="8"/>
      <c r="Q55" s="8"/>
      <c r="R55" s="8"/>
    </row>
    <row r="56" spans="1:18" ht="12">
      <c r="A56" s="8"/>
      <c r="B56" s="83"/>
      <c r="H56" s="83"/>
      <c r="I56" s="8"/>
      <c r="J56" s="8"/>
      <c r="K56" s="8"/>
      <c r="L56" s="8"/>
      <c r="M56" s="8"/>
      <c r="N56" s="8"/>
      <c r="O56" s="8"/>
      <c r="P56" s="8"/>
      <c r="Q56" s="8"/>
      <c r="R56" s="8"/>
    </row>
    <row r="57" spans="1:18" ht="12.75">
      <c r="A57" s="8"/>
      <c r="B57" s="83"/>
      <c r="C57" s="461">
        <f ca="1">TODAY()</f>
        <v>42754</v>
      </c>
      <c r="D57" s="525"/>
      <c r="E57" s="457"/>
      <c r="F57" s="457"/>
      <c r="G57" s="459"/>
      <c r="H57" s="83"/>
      <c r="I57" s="8"/>
      <c r="J57" s="8"/>
      <c r="K57" s="8"/>
      <c r="L57" s="8"/>
      <c r="M57" s="8"/>
      <c r="N57" s="8"/>
      <c r="O57" s="8"/>
      <c r="P57" s="8"/>
      <c r="Q57" s="8"/>
      <c r="R57" s="8"/>
    </row>
    <row r="58" spans="1:18" ht="12">
      <c r="A58" s="8"/>
      <c r="B58" s="83"/>
      <c r="C58" s="83"/>
      <c r="D58" s="83"/>
      <c r="E58" s="83"/>
      <c r="F58" s="83"/>
      <c r="G58" s="83"/>
      <c r="H58" s="83"/>
      <c r="I58" s="8"/>
      <c r="J58" s="8"/>
      <c r="K58" s="8"/>
      <c r="L58" s="8"/>
      <c r="M58" s="8"/>
      <c r="N58" s="8"/>
      <c r="O58" s="8"/>
      <c r="P58" s="8"/>
      <c r="Q58" s="8"/>
      <c r="R58" s="8"/>
    </row>
    <row r="59" spans="1:18" ht="12">
      <c r="A59" s="8"/>
      <c r="B59" s="8"/>
      <c r="C59" s="8"/>
      <c r="D59" s="8"/>
      <c r="E59" s="8"/>
      <c r="F59" s="8"/>
      <c r="G59" s="8"/>
      <c r="H59" s="8"/>
      <c r="I59" s="8"/>
      <c r="J59" s="8"/>
      <c r="K59" s="8"/>
      <c r="L59" s="8"/>
      <c r="M59" s="8"/>
      <c r="N59" s="8"/>
      <c r="O59" s="8"/>
      <c r="P59" s="8"/>
      <c r="Q59" s="8"/>
      <c r="R59" s="8"/>
    </row>
    <row r="60" spans="1:18" ht="12">
      <c r="A60" s="8"/>
      <c r="B60" s="8"/>
      <c r="C60" s="8"/>
      <c r="D60" s="8"/>
      <c r="E60" s="8"/>
      <c r="F60" s="8"/>
      <c r="G60" s="8"/>
      <c r="H60" s="8"/>
      <c r="I60" s="8"/>
      <c r="J60" s="8"/>
      <c r="K60" s="8"/>
      <c r="L60" s="8"/>
      <c r="M60" s="8"/>
      <c r="N60" s="8"/>
      <c r="O60" s="8"/>
      <c r="P60" s="8"/>
      <c r="Q60" s="8"/>
      <c r="R60" s="8"/>
    </row>
    <row r="61" spans="1:18" ht="12">
      <c r="A61" s="8"/>
      <c r="B61" s="8"/>
      <c r="C61" s="8"/>
      <c r="D61" s="8"/>
      <c r="E61" s="8"/>
      <c r="F61" s="8"/>
      <c r="G61" s="8"/>
      <c r="H61" s="8"/>
      <c r="I61" s="8"/>
      <c r="J61" s="8"/>
      <c r="K61" s="8"/>
      <c r="L61" s="8"/>
      <c r="M61" s="8"/>
      <c r="N61" s="8"/>
      <c r="O61" s="8"/>
      <c r="P61" s="8"/>
      <c r="Q61" s="8"/>
      <c r="R61" s="8"/>
    </row>
    <row r="62" spans="1:18" ht="12">
      <c r="A62" s="8"/>
      <c r="B62" s="8"/>
      <c r="C62" s="8"/>
      <c r="D62" s="8"/>
      <c r="E62" s="8"/>
      <c r="F62" s="8"/>
      <c r="G62" s="8"/>
      <c r="H62" s="8"/>
      <c r="I62" s="8"/>
      <c r="J62" s="8"/>
      <c r="K62" s="8"/>
      <c r="L62" s="8"/>
      <c r="M62" s="8"/>
      <c r="N62" s="8"/>
      <c r="O62" s="8"/>
      <c r="P62" s="8"/>
      <c r="Q62" s="8"/>
      <c r="R62" s="8"/>
    </row>
    <row r="63" spans="1:40" ht="12">
      <c r="A63" s="8"/>
      <c r="B63" s="8"/>
      <c r="C63" s="8"/>
      <c r="D63" s="8"/>
      <c r="E63" s="8"/>
      <c r="F63" s="8"/>
      <c r="G63" s="8"/>
      <c r="H63" s="8"/>
      <c r="I63" s="8"/>
      <c r="J63" s="8"/>
      <c r="K63" s="8"/>
      <c r="L63" s="8"/>
      <c r="M63" s="8"/>
      <c r="N63" s="8"/>
      <c r="O63" s="8"/>
      <c r="P63" s="8"/>
      <c r="Q63" s="8"/>
      <c r="R63" s="8"/>
      <c r="AH63" s="83"/>
      <c r="AI63" s="83"/>
      <c r="AJ63" s="83"/>
      <c r="AK63" s="83"/>
      <c r="AL63" s="83"/>
      <c r="AM63" s="83"/>
      <c r="AN63" s="83"/>
    </row>
    <row r="64" spans="1:18" ht="12">
      <c r="A64" s="8"/>
      <c r="B64" s="8"/>
      <c r="C64" s="8"/>
      <c r="D64" s="8"/>
      <c r="E64" s="8"/>
      <c r="F64" s="8"/>
      <c r="G64" s="8"/>
      <c r="H64" s="8"/>
      <c r="I64" s="8"/>
      <c r="J64" s="8"/>
      <c r="K64" s="8"/>
      <c r="L64" s="8"/>
      <c r="M64" s="8"/>
      <c r="N64" s="8"/>
      <c r="O64" s="8"/>
      <c r="P64" s="8"/>
      <c r="Q64" s="8"/>
      <c r="R64" s="8"/>
    </row>
    <row r="65" spans="1:18" ht="12">
      <c r="A65" s="8"/>
      <c r="B65" s="8"/>
      <c r="C65" s="8"/>
      <c r="D65" s="8"/>
      <c r="E65" s="8"/>
      <c r="F65" s="8"/>
      <c r="G65" s="8"/>
      <c r="H65" s="8"/>
      <c r="I65" s="8"/>
      <c r="J65" s="8"/>
      <c r="K65" s="8"/>
      <c r="L65" s="8"/>
      <c r="M65" s="8"/>
      <c r="N65" s="8"/>
      <c r="O65" s="8"/>
      <c r="P65" s="8"/>
      <c r="Q65" s="8"/>
      <c r="R65" s="8"/>
    </row>
    <row r="66" spans="1:18" ht="12">
      <c r="A66" s="8"/>
      <c r="B66" s="8"/>
      <c r="C66" s="8"/>
      <c r="D66" s="8"/>
      <c r="E66" s="8"/>
      <c r="F66" s="8"/>
      <c r="G66" s="8"/>
      <c r="H66" s="8"/>
      <c r="I66" s="8"/>
      <c r="J66" s="8"/>
      <c r="K66" s="8"/>
      <c r="L66" s="8"/>
      <c r="M66" s="8"/>
      <c r="N66" s="8"/>
      <c r="O66" s="8"/>
      <c r="P66" s="8"/>
      <c r="Q66" s="8"/>
      <c r="R66" s="8"/>
    </row>
    <row r="67" spans="1:18" ht="12">
      <c r="A67" s="8"/>
      <c r="B67" s="8"/>
      <c r="C67" s="8"/>
      <c r="D67" s="8"/>
      <c r="E67" s="8"/>
      <c r="F67" s="8"/>
      <c r="G67" s="8"/>
      <c r="H67" s="8"/>
      <c r="I67" s="8"/>
      <c r="J67" s="8"/>
      <c r="K67" s="8"/>
      <c r="L67" s="8"/>
      <c r="M67" s="8"/>
      <c r="N67" s="8"/>
      <c r="O67" s="8"/>
      <c r="P67" s="8"/>
      <c r="Q67" s="8"/>
      <c r="R67" s="8"/>
    </row>
    <row r="70" spans="4:8" ht="12">
      <c r="D70" s="83"/>
      <c r="H70" s="83"/>
    </row>
    <row r="71" spans="6:8" ht="12">
      <c r="F71" s="83"/>
      <c r="G71" s="83"/>
      <c r="H71" s="83"/>
    </row>
  </sheetData>
  <sheetProtection password="D8FD" sheet="1"/>
  <mergeCells count="3">
    <mergeCell ref="C53:G53"/>
    <mergeCell ref="C54:G54"/>
    <mergeCell ref="F46:G46"/>
  </mergeCells>
  <printOptions/>
  <pageMargins left="0.7" right="0.7" top="0.75" bottom="0.75" header="0.3" footer="0.3"/>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Foglio12"/>
  <dimension ref="A1:AG61"/>
  <sheetViews>
    <sheetView zoomScalePageLayoutView="0" workbookViewId="0" topLeftCell="A1">
      <selection activeCell="I31" sqref="I31"/>
    </sheetView>
  </sheetViews>
  <sheetFormatPr defaultColWidth="9.140625" defaultRowHeight="12.75"/>
  <cols>
    <col min="1" max="1" width="4.28125" style="0" customWidth="1"/>
    <col min="3" max="3" width="4.7109375" style="0" customWidth="1"/>
    <col min="4" max="4" width="10.57421875" style="0" customWidth="1"/>
    <col min="5" max="5" width="9.28125" style="0" customWidth="1"/>
    <col min="6" max="6" width="4.7109375" style="0" customWidth="1"/>
    <col min="7" max="7" width="6.421875" style="0" customWidth="1"/>
    <col min="8" max="8" width="7.140625" style="0" customWidth="1"/>
    <col min="9" max="9" width="6.140625" style="0" customWidth="1"/>
    <col min="10" max="10" width="7.8515625" style="0" customWidth="1"/>
    <col min="11" max="11" width="4.140625" style="0" customWidth="1"/>
    <col min="13" max="13" width="6.421875" style="0" customWidth="1"/>
    <col min="15" max="15" width="11.421875" style="0" customWidth="1"/>
    <col min="16" max="16" width="4.140625" style="0" customWidth="1"/>
    <col min="17" max="17" width="3.421875" style="0" customWidth="1"/>
    <col min="23" max="23" width="9.28125" style="0" bestFit="1" customWidth="1"/>
    <col min="27" max="27" width="14.28125" style="0" customWidth="1"/>
    <col min="28" max="28" width="15.00390625" style="0" customWidth="1"/>
  </cols>
  <sheetData>
    <row r="1" spans="1:32" ht="12.75" thickBot="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3" ht="12.75" thickTop="1">
      <c r="A2" s="83"/>
      <c r="B2" s="200"/>
      <c r="C2" s="201"/>
      <c r="D2" s="201" t="s">
        <v>150</v>
      </c>
      <c r="E2" s="201"/>
      <c r="F2" s="201"/>
      <c r="G2" s="201"/>
      <c r="H2" s="201"/>
      <c r="I2" s="201"/>
      <c r="J2" s="201"/>
      <c r="K2" s="201"/>
      <c r="L2" s="201"/>
      <c r="M2" s="201"/>
      <c r="N2" s="201"/>
      <c r="O2" s="201"/>
      <c r="P2" s="202"/>
      <c r="Q2" s="201"/>
      <c r="R2" s="201"/>
      <c r="S2" s="201" t="s">
        <v>202</v>
      </c>
      <c r="T2" s="201"/>
      <c r="U2" s="201"/>
      <c r="V2" s="201"/>
      <c r="W2" s="201"/>
      <c r="X2" s="201"/>
      <c r="Y2" s="201"/>
      <c r="Z2" s="201"/>
      <c r="AA2" s="201"/>
      <c r="AB2" s="201"/>
      <c r="AC2" s="202"/>
      <c r="AD2" s="83"/>
      <c r="AE2" s="83"/>
      <c r="AF2" s="83"/>
      <c r="AG2" s="83"/>
    </row>
    <row r="3" spans="1:33" ht="12.75">
      <c r="A3" s="83"/>
      <c r="B3" s="203"/>
      <c r="C3" s="74"/>
      <c r="D3" s="74"/>
      <c r="E3" s="163" t="s">
        <v>151</v>
      </c>
      <c r="F3" s="164"/>
      <c r="G3" s="164"/>
      <c r="H3" s="164"/>
      <c r="I3" s="165"/>
      <c r="J3" s="164"/>
      <c r="K3" s="164"/>
      <c r="L3" s="163" t="s">
        <v>152</v>
      </c>
      <c r="M3" s="164"/>
      <c r="N3" s="164"/>
      <c r="O3" s="75"/>
      <c r="P3" s="162"/>
      <c r="Q3" s="77"/>
      <c r="R3" s="166" t="s">
        <v>0</v>
      </c>
      <c r="S3" s="74"/>
      <c r="T3" s="74"/>
      <c r="U3" s="74"/>
      <c r="V3" s="167" t="s">
        <v>153</v>
      </c>
      <c r="W3" s="74"/>
      <c r="X3" s="74"/>
      <c r="Y3" s="74"/>
      <c r="Z3" s="74"/>
      <c r="AA3" s="168"/>
      <c r="AB3" s="75"/>
      <c r="AC3" s="162"/>
      <c r="AD3" s="83"/>
      <c r="AE3" s="83"/>
      <c r="AF3" s="83"/>
      <c r="AG3" s="83"/>
    </row>
    <row r="4" spans="1:33" ht="12">
      <c r="A4" s="83"/>
      <c r="B4" s="204" t="s">
        <v>154</v>
      </c>
      <c r="C4" s="170"/>
      <c r="D4" s="171" t="s">
        <v>155</v>
      </c>
      <c r="E4" s="170"/>
      <c r="F4" s="170"/>
      <c r="G4" s="170" t="s">
        <v>156</v>
      </c>
      <c r="H4" s="171" t="s">
        <v>157</v>
      </c>
      <c r="I4" s="169" t="s">
        <v>158</v>
      </c>
      <c r="J4" s="170"/>
      <c r="K4" s="170"/>
      <c r="L4" s="172" t="s">
        <v>159</v>
      </c>
      <c r="M4" s="77"/>
      <c r="N4" s="172"/>
      <c r="O4" s="78"/>
      <c r="P4" s="162"/>
      <c r="Q4" s="77"/>
      <c r="R4" s="173" t="s">
        <v>160</v>
      </c>
      <c r="S4" s="80"/>
      <c r="T4" s="80" t="s">
        <v>35</v>
      </c>
      <c r="U4" s="80"/>
      <c r="V4" s="80"/>
      <c r="W4" s="80"/>
      <c r="X4" s="80"/>
      <c r="Y4" s="80"/>
      <c r="Z4" s="80"/>
      <c r="AA4" s="174" t="s">
        <v>37</v>
      </c>
      <c r="AB4" s="175" t="s">
        <v>36</v>
      </c>
      <c r="AC4" s="162"/>
      <c r="AD4" s="83"/>
      <c r="AE4" s="83"/>
      <c r="AF4" s="83"/>
      <c r="AG4" s="83"/>
    </row>
    <row r="5" spans="1:33" ht="12.75">
      <c r="A5" s="83"/>
      <c r="B5" s="204" t="s">
        <v>161</v>
      </c>
      <c r="C5" s="170"/>
      <c r="D5" s="170" t="s">
        <v>162</v>
      </c>
      <c r="E5" s="171"/>
      <c r="F5" s="171"/>
      <c r="G5" s="170"/>
      <c r="H5" s="170"/>
      <c r="I5" s="169"/>
      <c r="J5" s="170"/>
      <c r="K5" s="170"/>
      <c r="L5" s="172" t="s">
        <v>163</v>
      </c>
      <c r="M5" s="77"/>
      <c r="N5" s="172"/>
      <c r="O5" s="78"/>
      <c r="P5" s="162"/>
      <c r="Q5" s="77"/>
      <c r="R5" s="176" t="s">
        <v>164</v>
      </c>
      <c r="S5" s="167"/>
      <c r="T5" s="74"/>
      <c r="U5" s="74"/>
      <c r="V5" s="74"/>
      <c r="W5" s="74"/>
      <c r="X5" s="74"/>
      <c r="Y5" s="74"/>
      <c r="Z5" s="74"/>
      <c r="AA5" s="168"/>
      <c r="AB5" s="75"/>
      <c r="AC5" s="162"/>
      <c r="AD5" s="83"/>
      <c r="AE5" s="83"/>
      <c r="AF5" s="83"/>
      <c r="AG5" s="83"/>
    </row>
    <row r="6" spans="1:33" ht="12.75">
      <c r="A6" s="83"/>
      <c r="B6" s="204" t="s">
        <v>165</v>
      </c>
      <c r="C6" s="77"/>
      <c r="D6" s="77"/>
      <c r="E6" s="177">
        <v>18941</v>
      </c>
      <c r="F6" s="172"/>
      <c r="G6" s="172"/>
      <c r="H6" s="172"/>
      <c r="I6" s="169" t="s">
        <v>166</v>
      </c>
      <c r="J6" s="77"/>
      <c r="K6" s="77"/>
      <c r="L6" s="172" t="s">
        <v>167</v>
      </c>
      <c r="M6" s="77"/>
      <c r="N6" s="77"/>
      <c r="O6" s="78"/>
      <c r="P6" s="162"/>
      <c r="Q6" s="77"/>
      <c r="R6" s="76"/>
      <c r="S6" s="178" t="s">
        <v>38</v>
      </c>
      <c r="T6" s="77"/>
      <c r="U6" s="77"/>
      <c r="V6" s="77"/>
      <c r="W6" s="77"/>
      <c r="X6" s="77"/>
      <c r="Y6" s="77"/>
      <c r="Z6" s="77"/>
      <c r="AA6" s="179"/>
      <c r="AB6" s="78"/>
      <c r="AC6" s="162"/>
      <c r="AD6" s="83"/>
      <c r="AE6" s="83"/>
      <c r="AF6" s="83"/>
      <c r="AG6" s="83"/>
    </row>
    <row r="7" spans="1:33" ht="12">
      <c r="A7" s="83"/>
      <c r="B7" s="204" t="s">
        <v>32</v>
      </c>
      <c r="C7" s="77"/>
      <c r="D7" s="77"/>
      <c r="E7" s="172"/>
      <c r="F7" s="172" t="s">
        <v>33</v>
      </c>
      <c r="G7" s="172"/>
      <c r="H7" s="172"/>
      <c r="I7" s="169" t="s">
        <v>161</v>
      </c>
      <c r="J7" s="77"/>
      <c r="K7" s="77"/>
      <c r="L7" s="180" t="s">
        <v>168</v>
      </c>
      <c r="M7" s="77"/>
      <c r="N7" s="77"/>
      <c r="O7" s="78"/>
      <c r="P7" s="162"/>
      <c r="Q7" s="77"/>
      <c r="R7" s="76" t="s">
        <v>169</v>
      </c>
      <c r="S7" s="77"/>
      <c r="T7" s="77" t="s">
        <v>170</v>
      </c>
      <c r="U7" s="77"/>
      <c r="V7" s="77"/>
      <c r="W7" s="77"/>
      <c r="X7" s="77"/>
      <c r="Y7" s="77"/>
      <c r="Z7" s="77"/>
      <c r="AA7" s="179"/>
      <c r="AB7" s="181">
        <v>1714.07</v>
      </c>
      <c r="AC7" s="162"/>
      <c r="AD7" s="83"/>
      <c r="AE7" s="83"/>
      <c r="AF7" s="83"/>
      <c r="AG7" s="83"/>
    </row>
    <row r="8" spans="1:33" ht="12">
      <c r="A8" s="83"/>
      <c r="B8" s="205" t="s">
        <v>171</v>
      </c>
      <c r="C8" s="80"/>
      <c r="D8" s="182" t="s">
        <v>172</v>
      </c>
      <c r="E8" s="80"/>
      <c r="F8" s="80"/>
      <c r="G8" s="80"/>
      <c r="H8" s="80"/>
      <c r="I8" s="173" t="s">
        <v>173</v>
      </c>
      <c r="J8" s="80"/>
      <c r="K8" s="80"/>
      <c r="L8" s="183" t="s">
        <v>174</v>
      </c>
      <c r="M8" s="80"/>
      <c r="N8" s="80"/>
      <c r="O8" s="81"/>
      <c r="P8" s="162"/>
      <c r="Q8" s="77"/>
      <c r="R8" s="76" t="s">
        <v>175</v>
      </c>
      <c r="S8" s="77"/>
      <c r="T8" s="77" t="s">
        <v>176</v>
      </c>
      <c r="U8" s="77"/>
      <c r="V8" s="77"/>
      <c r="W8" s="77"/>
      <c r="X8" s="77"/>
      <c r="Y8" s="77"/>
      <c r="Z8" s="77"/>
      <c r="AA8" s="179"/>
      <c r="AB8" s="181">
        <v>532.01</v>
      </c>
      <c r="AC8" s="162"/>
      <c r="AD8" s="83"/>
      <c r="AE8" s="83"/>
      <c r="AF8" s="83"/>
      <c r="AG8" s="83"/>
    </row>
    <row r="9" spans="1:33" ht="12.75">
      <c r="A9" s="83"/>
      <c r="B9" s="206"/>
      <c r="C9" s="74"/>
      <c r="D9" s="74"/>
      <c r="E9" s="74"/>
      <c r="F9" s="167"/>
      <c r="G9" s="74"/>
      <c r="H9" s="167" t="s">
        <v>177</v>
      </c>
      <c r="I9" s="74"/>
      <c r="J9" s="74"/>
      <c r="K9" s="74"/>
      <c r="L9" s="74"/>
      <c r="M9" s="74"/>
      <c r="N9" s="74"/>
      <c r="O9" s="75"/>
      <c r="P9" s="162"/>
      <c r="Q9" s="77"/>
      <c r="R9" s="76" t="s">
        <v>178</v>
      </c>
      <c r="S9" s="77"/>
      <c r="T9" s="77" t="s">
        <v>179</v>
      </c>
      <c r="U9" s="77"/>
      <c r="V9" s="77"/>
      <c r="W9" s="77"/>
      <c r="X9" s="77"/>
      <c r="Y9" s="77"/>
      <c r="Z9" s="77"/>
      <c r="AA9" s="179"/>
      <c r="AB9" s="181">
        <v>12.08</v>
      </c>
      <c r="AC9" s="162"/>
      <c r="AD9" s="83"/>
      <c r="AE9" s="83"/>
      <c r="AF9" s="83"/>
      <c r="AG9" s="83"/>
    </row>
    <row r="10" spans="1:33" ht="12">
      <c r="A10" s="83"/>
      <c r="B10" s="204" t="s">
        <v>180</v>
      </c>
      <c r="C10" s="172" t="s">
        <v>181</v>
      </c>
      <c r="D10" s="207"/>
      <c r="E10" s="77"/>
      <c r="F10" s="77"/>
      <c r="G10" s="170" t="s">
        <v>182</v>
      </c>
      <c r="H10" s="207"/>
      <c r="I10" s="172"/>
      <c r="J10" s="170"/>
      <c r="K10" s="77"/>
      <c r="L10" s="184" t="s">
        <v>1</v>
      </c>
      <c r="M10" s="185" t="s">
        <v>183</v>
      </c>
      <c r="N10" s="186" t="s">
        <v>34</v>
      </c>
      <c r="O10" s="187">
        <v>42004</v>
      </c>
      <c r="P10" s="162"/>
      <c r="Q10" s="77"/>
      <c r="R10" s="76"/>
      <c r="S10" s="77"/>
      <c r="T10" s="77"/>
      <c r="U10" s="77"/>
      <c r="V10" s="77"/>
      <c r="W10" s="77"/>
      <c r="X10" s="77"/>
      <c r="Y10" s="77"/>
      <c r="Z10" s="77"/>
      <c r="AA10" s="179"/>
      <c r="AB10" s="181"/>
      <c r="AC10" s="162"/>
      <c r="AD10" s="83"/>
      <c r="AE10" s="83"/>
      <c r="AF10" s="83"/>
      <c r="AG10" s="83"/>
    </row>
    <row r="11" spans="1:33" ht="12">
      <c r="A11" s="83"/>
      <c r="B11" s="208" t="s">
        <v>184</v>
      </c>
      <c r="C11" s="183"/>
      <c r="D11" s="188"/>
      <c r="E11" s="183" t="s">
        <v>185</v>
      </c>
      <c r="F11" s="188"/>
      <c r="G11" s="188"/>
      <c r="H11" s="189" t="s">
        <v>31</v>
      </c>
      <c r="I11" s="190">
        <v>28</v>
      </c>
      <c r="J11" s="188"/>
      <c r="K11" s="188" t="s">
        <v>201</v>
      </c>
      <c r="L11" s="188"/>
      <c r="M11" s="188"/>
      <c r="N11" s="188"/>
      <c r="O11" s="191"/>
      <c r="P11" s="192"/>
      <c r="Q11" s="77"/>
      <c r="R11" s="76"/>
      <c r="S11" s="77"/>
      <c r="T11" s="77"/>
      <c r="U11" s="77"/>
      <c r="V11" s="77"/>
      <c r="W11" s="77"/>
      <c r="X11" s="77"/>
      <c r="Y11" s="77"/>
      <c r="Z11" s="77"/>
      <c r="AA11" s="179"/>
      <c r="AB11" s="181"/>
      <c r="AC11" s="162"/>
      <c r="AD11" s="83"/>
      <c r="AE11" s="83"/>
      <c r="AF11" s="83"/>
      <c r="AG11" s="83"/>
    </row>
    <row r="12" spans="1:33" ht="12.75">
      <c r="A12" s="83"/>
      <c r="B12" s="209"/>
      <c r="C12" s="77"/>
      <c r="D12" s="77"/>
      <c r="E12" s="77"/>
      <c r="F12" s="77"/>
      <c r="G12" s="207"/>
      <c r="H12" s="77"/>
      <c r="I12" s="77"/>
      <c r="J12" s="77"/>
      <c r="K12" s="77"/>
      <c r="L12" s="77"/>
      <c r="M12" s="77"/>
      <c r="N12" s="77"/>
      <c r="O12" s="77"/>
      <c r="P12" s="162"/>
      <c r="Q12" s="77"/>
      <c r="R12" s="76"/>
      <c r="S12" s="178" t="s">
        <v>186</v>
      </c>
      <c r="T12" s="77"/>
      <c r="U12" s="77"/>
      <c r="V12" s="77"/>
      <c r="W12" s="77"/>
      <c r="X12" s="77"/>
      <c r="Y12" s="77"/>
      <c r="Z12" s="77"/>
      <c r="AA12" s="179"/>
      <c r="AB12" s="181"/>
      <c r="AC12" s="162"/>
      <c r="AD12" s="83"/>
      <c r="AE12" s="83"/>
      <c r="AF12" s="83"/>
      <c r="AG12" s="83"/>
    </row>
    <row r="13" spans="1:33" ht="12">
      <c r="A13" s="83"/>
      <c r="B13" s="209" t="s">
        <v>187</v>
      </c>
      <c r="C13" s="77"/>
      <c r="D13" s="77"/>
      <c r="E13" s="77"/>
      <c r="F13" s="77"/>
      <c r="G13" s="77"/>
      <c r="H13" s="77"/>
      <c r="I13" s="77"/>
      <c r="J13" s="77"/>
      <c r="K13" s="77"/>
      <c r="L13" s="77"/>
      <c r="M13" s="77"/>
      <c r="N13" s="77"/>
      <c r="O13" s="77"/>
      <c r="P13" s="162"/>
      <c r="Q13" s="77"/>
      <c r="R13" s="79" t="s">
        <v>39</v>
      </c>
      <c r="S13" s="80"/>
      <c r="T13" s="80" t="s">
        <v>40</v>
      </c>
      <c r="U13" s="80"/>
      <c r="V13" s="80"/>
      <c r="W13" s="80"/>
      <c r="X13" s="80"/>
      <c r="Y13" s="80"/>
      <c r="Z13" s="80"/>
      <c r="AA13" s="193"/>
      <c r="AB13" s="194">
        <v>257.5</v>
      </c>
      <c r="AC13" s="162"/>
      <c r="AD13" s="83"/>
      <c r="AE13" s="83"/>
      <c r="AF13" s="83"/>
      <c r="AG13" s="83"/>
    </row>
    <row r="14" spans="1:33" ht="12">
      <c r="A14" s="83"/>
      <c r="B14" s="209"/>
      <c r="C14" s="77"/>
      <c r="D14" s="77"/>
      <c r="E14" s="77"/>
      <c r="F14" s="77"/>
      <c r="G14" s="77"/>
      <c r="H14" s="77"/>
      <c r="I14" s="77"/>
      <c r="J14" s="77"/>
      <c r="K14" s="77"/>
      <c r="L14" s="77"/>
      <c r="M14" s="77"/>
      <c r="N14" s="77"/>
      <c r="O14" s="77"/>
      <c r="P14" s="162"/>
      <c r="Q14" s="77"/>
      <c r="R14" s="77"/>
      <c r="S14" s="77"/>
      <c r="T14" s="77"/>
      <c r="U14" s="77"/>
      <c r="V14" s="77"/>
      <c r="W14" s="77"/>
      <c r="X14" s="77"/>
      <c r="Y14" s="77"/>
      <c r="Z14" s="77"/>
      <c r="AA14" s="77"/>
      <c r="AB14" s="77"/>
      <c r="AC14" s="162"/>
      <c r="AD14" s="83"/>
      <c r="AE14" s="83"/>
      <c r="AF14" s="83"/>
      <c r="AG14" s="83"/>
    </row>
    <row r="15" spans="1:33" ht="12">
      <c r="A15" s="83"/>
      <c r="B15" s="210" t="s">
        <v>446</v>
      </c>
      <c r="C15" s="172"/>
      <c r="D15" s="172"/>
      <c r="E15" s="172">
        <v>28</v>
      </c>
      <c r="F15" s="77"/>
      <c r="G15" s="77"/>
      <c r="H15" s="77"/>
      <c r="I15" s="77"/>
      <c r="J15" s="73" t="s">
        <v>188</v>
      </c>
      <c r="K15" s="74"/>
      <c r="L15" s="74"/>
      <c r="M15" s="74"/>
      <c r="N15" s="75"/>
      <c r="O15" s="77"/>
      <c r="P15" s="162"/>
      <c r="Q15" s="77"/>
      <c r="R15" s="77"/>
      <c r="S15" s="77"/>
      <c r="T15" s="77"/>
      <c r="U15" s="77"/>
      <c r="V15" s="77"/>
      <c r="W15" s="77"/>
      <c r="X15" s="77"/>
      <c r="Y15" s="77"/>
      <c r="Z15" s="77"/>
      <c r="AA15" s="77"/>
      <c r="AB15" s="77"/>
      <c r="AC15" s="162"/>
      <c r="AD15" s="83"/>
      <c r="AE15" s="83"/>
      <c r="AF15" s="83"/>
      <c r="AG15" s="83"/>
    </row>
    <row r="16" spans="1:33" ht="12">
      <c r="A16" s="83"/>
      <c r="B16" s="204" t="s">
        <v>189</v>
      </c>
      <c r="C16" s="170"/>
      <c r="D16" s="170"/>
      <c r="E16" s="211">
        <f>O10</f>
        <v>42004</v>
      </c>
      <c r="F16" s="77"/>
      <c r="G16" s="77"/>
      <c r="H16" s="77"/>
      <c r="I16" s="77"/>
      <c r="J16" s="76"/>
      <c r="K16" s="195" t="s">
        <v>190</v>
      </c>
      <c r="L16" s="195"/>
      <c r="M16" s="195" t="s">
        <v>3</v>
      </c>
      <c r="N16" s="78"/>
      <c r="O16" s="77"/>
      <c r="P16" s="162"/>
      <c r="Q16" s="77"/>
      <c r="R16" s="77" t="s">
        <v>203</v>
      </c>
      <c r="S16" s="77"/>
      <c r="T16" s="77"/>
      <c r="U16" s="77"/>
      <c r="V16" s="77"/>
      <c r="W16" s="212">
        <f>AB7+AB9</f>
        <v>1726.1499999999999</v>
      </c>
      <c r="X16" s="77"/>
      <c r="Y16" s="77"/>
      <c r="Z16" s="77"/>
      <c r="AA16" s="77"/>
      <c r="AB16" s="77"/>
      <c r="AC16" s="162"/>
      <c r="AD16" s="83"/>
      <c r="AE16" s="83"/>
      <c r="AF16" s="83"/>
      <c r="AG16" s="83"/>
    </row>
    <row r="17" spans="1:33" ht="12">
      <c r="A17" s="83"/>
      <c r="B17" s="204" t="s">
        <v>193</v>
      </c>
      <c r="C17" s="77"/>
      <c r="D17" s="77"/>
      <c r="E17" s="211">
        <v>42005</v>
      </c>
      <c r="F17" s="77"/>
      <c r="G17" s="77"/>
      <c r="H17" s="77"/>
      <c r="I17" s="77"/>
      <c r="J17" s="76"/>
      <c r="K17" s="195">
        <v>0</v>
      </c>
      <c r="L17" s="195"/>
      <c r="M17" s="195">
        <v>3</v>
      </c>
      <c r="N17" s="78"/>
      <c r="O17" s="77"/>
      <c r="P17" s="162"/>
      <c r="Q17" s="77"/>
      <c r="R17" s="77" t="s">
        <v>191</v>
      </c>
      <c r="S17" s="77"/>
      <c r="T17" s="77"/>
      <c r="U17" s="77"/>
      <c r="V17" s="77"/>
      <c r="W17" s="212">
        <f>AB8</f>
        <v>532.01</v>
      </c>
      <c r="X17" s="77"/>
      <c r="Y17" s="77" t="s">
        <v>192</v>
      </c>
      <c r="Z17" s="77"/>
      <c r="AA17" s="77"/>
      <c r="AB17" s="77"/>
      <c r="AC17" s="162"/>
      <c r="AD17" s="83"/>
      <c r="AE17" s="83"/>
      <c r="AF17" s="83"/>
      <c r="AG17" s="83"/>
    </row>
    <row r="18" spans="1:33" ht="12">
      <c r="A18" s="83"/>
      <c r="B18" s="204" t="s">
        <v>441</v>
      </c>
      <c r="C18" s="77"/>
      <c r="D18" s="77"/>
      <c r="E18" s="211">
        <v>41640</v>
      </c>
      <c r="F18" s="77"/>
      <c r="G18" s="77"/>
      <c r="H18" s="77"/>
      <c r="I18" s="77"/>
      <c r="J18" s="76"/>
      <c r="K18" s="195">
        <v>3</v>
      </c>
      <c r="L18" s="195"/>
      <c r="M18" s="195">
        <v>6</v>
      </c>
      <c r="N18" s="78"/>
      <c r="O18" s="77"/>
      <c r="P18" s="162"/>
      <c r="Q18" s="77"/>
      <c r="R18" s="77" t="s">
        <v>194</v>
      </c>
      <c r="S18" s="77"/>
      <c r="T18" s="77"/>
      <c r="U18" s="77"/>
      <c r="V18" s="77"/>
      <c r="W18" s="212">
        <f>AB13</f>
        <v>257.5</v>
      </c>
      <c r="X18" s="77"/>
      <c r="Y18" s="77" t="s">
        <v>195</v>
      </c>
      <c r="Z18" s="77"/>
      <c r="AA18" s="77"/>
      <c r="AB18" s="77"/>
      <c r="AC18" s="162"/>
      <c r="AD18" s="83"/>
      <c r="AE18" s="83"/>
      <c r="AF18" s="83"/>
      <c r="AG18" s="83"/>
    </row>
    <row r="19" spans="1:33" ht="12">
      <c r="A19" s="83"/>
      <c r="B19" s="204" t="s">
        <v>196</v>
      </c>
      <c r="C19" s="170"/>
      <c r="D19" s="170"/>
      <c r="E19" s="170">
        <v>7</v>
      </c>
      <c r="F19" s="77"/>
      <c r="G19" s="77"/>
      <c r="H19" s="77"/>
      <c r="I19" s="77"/>
      <c r="J19" s="76"/>
      <c r="K19" s="195">
        <v>9</v>
      </c>
      <c r="L19" s="195"/>
      <c r="M19" s="195">
        <v>6</v>
      </c>
      <c r="N19" s="78"/>
      <c r="O19" s="77"/>
      <c r="P19" s="162"/>
      <c r="Q19" s="77"/>
      <c r="R19" s="77"/>
      <c r="S19" s="77"/>
      <c r="T19" s="77"/>
      <c r="U19" s="77"/>
      <c r="V19" s="77"/>
      <c r="W19" s="77"/>
      <c r="X19" s="77"/>
      <c r="Y19" s="77"/>
      <c r="Z19" s="77"/>
      <c r="AA19" s="77"/>
      <c r="AB19" s="77"/>
      <c r="AC19" s="162"/>
      <c r="AD19" s="83"/>
      <c r="AE19" s="83"/>
      <c r="AF19" s="83"/>
      <c r="AG19" s="83"/>
    </row>
    <row r="20" spans="1:33" ht="12.75">
      <c r="A20" s="83"/>
      <c r="B20" s="210" t="s">
        <v>197</v>
      </c>
      <c r="C20" s="178"/>
      <c r="D20" s="178"/>
      <c r="E20" s="213">
        <v>39083</v>
      </c>
      <c r="F20" s="211"/>
      <c r="G20" s="77"/>
      <c r="H20" s="77"/>
      <c r="I20" s="77"/>
      <c r="J20" s="76"/>
      <c r="K20" s="195">
        <v>15</v>
      </c>
      <c r="L20" s="195"/>
      <c r="M20" s="195">
        <v>6</v>
      </c>
      <c r="N20" s="78"/>
      <c r="O20" s="77"/>
      <c r="P20" s="162"/>
      <c r="Q20" s="77"/>
      <c r="R20" s="77" t="s">
        <v>198</v>
      </c>
      <c r="S20" s="77"/>
      <c r="T20" s="77"/>
      <c r="U20" s="77"/>
      <c r="V20" s="77"/>
      <c r="W20" s="77"/>
      <c r="X20" s="77"/>
      <c r="Y20" s="77"/>
      <c r="Z20" s="77"/>
      <c r="AA20" s="77"/>
      <c r="AB20" s="77"/>
      <c r="AC20" s="162"/>
      <c r="AD20" s="83"/>
      <c r="AE20" s="83"/>
      <c r="AF20" s="83"/>
      <c r="AG20" s="83"/>
    </row>
    <row r="21" spans="1:33" ht="12">
      <c r="A21" s="83"/>
      <c r="B21" s="204"/>
      <c r="C21" s="77"/>
      <c r="D21" s="77"/>
      <c r="E21" s="77"/>
      <c r="F21" s="77"/>
      <c r="G21" s="77"/>
      <c r="H21" s="77"/>
      <c r="I21" s="77"/>
      <c r="J21" s="76"/>
      <c r="K21" s="195">
        <v>21</v>
      </c>
      <c r="L21" s="195"/>
      <c r="M21" s="195">
        <v>7</v>
      </c>
      <c r="N21" s="78"/>
      <c r="O21" s="77"/>
      <c r="P21" s="162"/>
      <c r="Q21" s="77"/>
      <c r="R21" s="77" t="s">
        <v>199</v>
      </c>
      <c r="S21" s="77"/>
      <c r="T21" s="77"/>
      <c r="U21" s="77"/>
      <c r="V21" s="77"/>
      <c r="W21" s="77"/>
      <c r="X21" s="77"/>
      <c r="Y21" s="77"/>
      <c r="Z21" s="77"/>
      <c r="AA21" s="77"/>
      <c r="AB21" s="77"/>
      <c r="AC21" s="162"/>
      <c r="AD21" s="83"/>
      <c r="AE21" s="83"/>
      <c r="AF21" s="83"/>
      <c r="AG21" s="83"/>
    </row>
    <row r="22" spans="1:33" ht="12">
      <c r="A22" s="83"/>
      <c r="B22" s="204"/>
      <c r="C22" s="77"/>
      <c r="D22" s="77"/>
      <c r="E22" s="77"/>
      <c r="F22" s="77"/>
      <c r="G22" s="77"/>
      <c r="H22" s="77"/>
      <c r="I22" s="77"/>
      <c r="J22" s="76"/>
      <c r="K22" s="195">
        <v>28</v>
      </c>
      <c r="L22" s="195"/>
      <c r="M22" s="195">
        <v>7</v>
      </c>
      <c r="N22" s="78"/>
      <c r="O22" s="77"/>
      <c r="P22" s="162"/>
      <c r="Q22" s="77"/>
      <c r="R22" s="77"/>
      <c r="S22" s="77"/>
      <c r="T22" s="77"/>
      <c r="U22" s="77"/>
      <c r="V22" s="77"/>
      <c r="W22" s="77"/>
      <c r="X22" s="77"/>
      <c r="Y22" s="77"/>
      <c r="Z22" s="77"/>
      <c r="AA22" s="77"/>
      <c r="AB22" s="77"/>
      <c r="AC22" s="162"/>
      <c r="AD22" s="83"/>
      <c r="AE22" s="83"/>
      <c r="AF22" s="83"/>
      <c r="AG22" s="83"/>
    </row>
    <row r="23" spans="1:33" ht="12">
      <c r="A23" s="83"/>
      <c r="B23" s="206" t="s">
        <v>443</v>
      </c>
      <c r="C23" s="196"/>
      <c r="D23" s="196"/>
      <c r="E23" s="196"/>
      <c r="F23" s="74"/>
      <c r="G23" s="74"/>
      <c r="H23" s="75"/>
      <c r="I23" s="77"/>
      <c r="J23" s="79"/>
      <c r="K23" s="197">
        <v>35</v>
      </c>
      <c r="L23" s="197"/>
      <c r="M23" s="197" t="s">
        <v>200</v>
      </c>
      <c r="N23" s="81"/>
      <c r="O23" s="77"/>
      <c r="P23" s="162"/>
      <c r="Q23" s="77"/>
      <c r="R23" s="77"/>
      <c r="S23" s="77"/>
      <c r="T23" s="77"/>
      <c r="U23" s="77"/>
      <c r="V23" s="77"/>
      <c r="W23" s="77"/>
      <c r="X23" s="77"/>
      <c r="Y23" s="77"/>
      <c r="Z23" s="77"/>
      <c r="AA23" s="77"/>
      <c r="AB23" s="77"/>
      <c r="AC23" s="162"/>
      <c r="AD23" s="83"/>
      <c r="AE23" s="83"/>
      <c r="AF23" s="83"/>
      <c r="AG23" s="83"/>
    </row>
    <row r="24" spans="1:33" ht="12">
      <c r="A24" s="83"/>
      <c r="B24" s="204" t="s">
        <v>442</v>
      </c>
      <c r="C24" s="77"/>
      <c r="D24" s="77"/>
      <c r="E24" s="77"/>
      <c r="F24" s="77"/>
      <c r="G24" s="77"/>
      <c r="H24" s="78"/>
      <c r="I24" s="77"/>
      <c r="J24" s="77"/>
      <c r="K24" s="77"/>
      <c r="L24" s="77"/>
      <c r="M24" s="77"/>
      <c r="N24" s="77"/>
      <c r="O24" s="77"/>
      <c r="P24" s="162"/>
      <c r="Q24" s="77"/>
      <c r="R24" s="77"/>
      <c r="S24" s="77"/>
      <c r="T24" s="77"/>
      <c r="U24" s="77"/>
      <c r="V24" s="77"/>
      <c r="W24" s="77"/>
      <c r="X24" s="77"/>
      <c r="Y24" s="77"/>
      <c r="Z24" s="77"/>
      <c r="AA24" s="77"/>
      <c r="AB24" s="77"/>
      <c r="AC24" s="162"/>
      <c r="AD24" s="83"/>
      <c r="AE24" s="83"/>
      <c r="AF24" s="83"/>
      <c r="AG24" s="83"/>
    </row>
    <row r="25" spans="1:33" ht="12">
      <c r="A25" s="83"/>
      <c r="B25" s="204" t="s">
        <v>445</v>
      </c>
      <c r="C25" s="77"/>
      <c r="D25" s="77"/>
      <c r="E25" s="77"/>
      <c r="F25" s="77"/>
      <c r="G25" s="77"/>
      <c r="H25" s="78"/>
      <c r="I25" s="77"/>
      <c r="J25" s="77"/>
      <c r="K25" s="77"/>
      <c r="L25" s="77"/>
      <c r="M25" s="77"/>
      <c r="N25" s="77"/>
      <c r="O25" s="77"/>
      <c r="P25" s="162"/>
      <c r="Q25" s="77"/>
      <c r="R25" s="77"/>
      <c r="S25" s="77"/>
      <c r="T25" s="77"/>
      <c r="U25" s="77"/>
      <c r="V25" s="77"/>
      <c r="W25" s="77"/>
      <c r="X25" s="77"/>
      <c r="Y25" s="77"/>
      <c r="Z25" s="77"/>
      <c r="AA25" s="77"/>
      <c r="AB25" s="77"/>
      <c r="AC25" s="162"/>
      <c r="AD25" s="83"/>
      <c r="AE25" s="83"/>
      <c r="AF25" s="83"/>
      <c r="AG25" s="83"/>
    </row>
    <row r="26" spans="1:33" ht="12">
      <c r="A26" s="83"/>
      <c r="B26" s="204" t="s">
        <v>444</v>
      </c>
      <c r="C26" s="77"/>
      <c r="D26" s="77"/>
      <c r="E26" s="77"/>
      <c r="F26" s="77"/>
      <c r="G26" s="77"/>
      <c r="H26" s="78"/>
      <c r="I26" s="77"/>
      <c r="J26" s="77"/>
      <c r="K26" s="77"/>
      <c r="L26" s="77"/>
      <c r="M26" s="77"/>
      <c r="N26" s="77"/>
      <c r="O26" s="77"/>
      <c r="P26" s="162"/>
      <c r="Q26" s="77"/>
      <c r="R26" s="77"/>
      <c r="S26" s="77"/>
      <c r="T26" s="77"/>
      <c r="U26" s="77"/>
      <c r="V26" s="77"/>
      <c r="W26" s="77"/>
      <c r="X26" s="77"/>
      <c r="Y26" s="77"/>
      <c r="Z26" s="77"/>
      <c r="AA26" s="77"/>
      <c r="AB26" s="77"/>
      <c r="AC26" s="162"/>
      <c r="AD26" s="83"/>
      <c r="AE26" s="83"/>
      <c r="AF26" s="83"/>
      <c r="AG26" s="83"/>
    </row>
    <row r="27" spans="1:33" ht="12">
      <c r="A27" s="83"/>
      <c r="B27" s="205"/>
      <c r="C27" s="80"/>
      <c r="D27" s="80"/>
      <c r="E27" s="80"/>
      <c r="F27" s="80"/>
      <c r="G27" s="80"/>
      <c r="H27" s="81"/>
      <c r="I27" s="77"/>
      <c r="J27" s="77"/>
      <c r="K27" s="77"/>
      <c r="L27" s="77"/>
      <c r="M27" s="77"/>
      <c r="N27" s="77"/>
      <c r="O27" s="77"/>
      <c r="P27" s="162"/>
      <c r="Q27" s="77"/>
      <c r="R27" s="77"/>
      <c r="S27" s="77"/>
      <c r="T27" s="77"/>
      <c r="U27" s="77"/>
      <c r="V27" s="77"/>
      <c r="W27" s="77"/>
      <c r="X27" s="77"/>
      <c r="Y27" s="77"/>
      <c r="Z27" s="77"/>
      <c r="AA27" s="77"/>
      <c r="AB27" s="77"/>
      <c r="AC27" s="162"/>
      <c r="AD27" s="83"/>
      <c r="AE27" s="83"/>
      <c r="AF27" s="83"/>
      <c r="AG27" s="83"/>
    </row>
    <row r="28" spans="1:33" ht="12">
      <c r="A28" s="162"/>
      <c r="B28" s="209"/>
      <c r="C28" s="77"/>
      <c r="D28" s="77"/>
      <c r="E28" s="77"/>
      <c r="F28" s="77"/>
      <c r="G28" s="77"/>
      <c r="H28" s="77"/>
      <c r="I28" s="77"/>
      <c r="J28" s="77"/>
      <c r="K28" s="77"/>
      <c r="L28" s="77"/>
      <c r="M28" s="77"/>
      <c r="N28" s="77"/>
      <c r="O28" s="77"/>
      <c r="P28" s="162"/>
      <c r="Q28" s="77"/>
      <c r="R28" s="77"/>
      <c r="S28" s="77"/>
      <c r="T28" s="77"/>
      <c r="U28" s="77"/>
      <c r="V28" s="77"/>
      <c r="W28" s="77"/>
      <c r="X28" s="77"/>
      <c r="Y28" s="77"/>
      <c r="Z28" s="77"/>
      <c r="AA28" s="77"/>
      <c r="AB28" s="77"/>
      <c r="AC28" s="162"/>
      <c r="AD28" s="83"/>
      <c r="AE28" s="83"/>
      <c r="AF28" s="83"/>
      <c r="AG28" s="83"/>
    </row>
    <row r="29" spans="1:33" ht="12.75" thickBot="1">
      <c r="A29" s="162"/>
      <c r="B29" s="214"/>
      <c r="C29" s="198"/>
      <c r="D29" s="198"/>
      <c r="E29" s="198"/>
      <c r="F29" s="198"/>
      <c r="G29" s="198"/>
      <c r="H29" s="198"/>
      <c r="I29" s="198"/>
      <c r="J29" s="198"/>
      <c r="K29" s="198"/>
      <c r="L29" s="198"/>
      <c r="M29" s="198"/>
      <c r="N29" s="198"/>
      <c r="O29" s="198"/>
      <c r="P29" s="199"/>
      <c r="Q29" s="198"/>
      <c r="R29" s="198"/>
      <c r="S29" s="198"/>
      <c r="T29" s="198"/>
      <c r="U29" s="198"/>
      <c r="V29" s="198"/>
      <c r="W29" s="198"/>
      <c r="X29" s="198"/>
      <c r="Y29" s="198"/>
      <c r="Z29" s="198"/>
      <c r="AA29" s="198"/>
      <c r="AB29" s="198"/>
      <c r="AC29" s="199"/>
      <c r="AD29" s="83"/>
      <c r="AE29" s="83"/>
      <c r="AF29" s="83"/>
      <c r="AG29" s="83"/>
    </row>
    <row r="30" spans="1:33" ht="12.75" thickTop="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row>
    <row r="31" spans="1:33" ht="12">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row>
    <row r="32" spans="1:33" ht="12">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1:33" ht="12">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row>
    <row r="34" spans="1:33" ht="12">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row>
    <row r="35" spans="1:33" ht="12">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row>
    <row r="36" spans="1:33" ht="12">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row>
    <row r="37" spans="1:33" ht="12">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row>
    <row r="38" spans="1:33" ht="12">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row r="39" spans="1:33" ht="12">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row>
    <row r="40" spans="1:33" ht="12">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row>
    <row r="41" spans="1:33" ht="1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ht="1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row>
    <row r="43" spans="1:33" ht="1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1:33" ht="1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row>
    <row r="45" spans="1:33" ht="1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row>
    <row r="46" spans="1:33" ht="1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row>
    <row r="47" spans="1:33" ht="1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row>
    <row r="48" spans="1:33" ht="1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row>
    <row r="49" spans="1:33" ht="1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row>
    <row r="50" spans="1:33" ht="1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row>
    <row r="51" spans="1:33" ht="12">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row>
    <row r="52" spans="1:33" ht="1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row>
    <row r="53" spans="1:33" ht="1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row>
    <row r="54" spans="1:33" ht="1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row>
    <row r="55" spans="1:33" ht="1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row>
    <row r="56" spans="1:33" ht="1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row>
    <row r="57" spans="1:33" ht="1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row>
    <row r="58" spans="1:33" ht="1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row>
    <row r="60" spans="29:33" ht="12">
      <c r="AC60" s="83"/>
      <c r="AD60" s="83"/>
      <c r="AE60" s="83"/>
      <c r="AF60" s="83"/>
      <c r="AG60" s="83"/>
    </row>
    <row r="61" spans="29:33" ht="12">
      <c r="AC61" s="83"/>
      <c r="AD61" s="83"/>
      <c r="AE61" s="83"/>
      <c r="AF61" s="83"/>
      <c r="AG61" s="83"/>
    </row>
  </sheetData>
  <sheetProtection sheet="1" objects="1" scenarios="1"/>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Foglio13"/>
  <dimension ref="A1:P791"/>
  <sheetViews>
    <sheetView zoomScalePageLayoutView="0" workbookViewId="0" topLeftCell="A1">
      <selection activeCell="L4" sqref="L4"/>
    </sheetView>
  </sheetViews>
  <sheetFormatPr defaultColWidth="9.140625" defaultRowHeight="12.75"/>
  <cols>
    <col min="1" max="1" width="7.140625" style="0" customWidth="1"/>
    <col min="2" max="13" width="9.7109375" style="0" customWidth="1"/>
    <col min="18" max="18" width="9.8515625" style="0" customWidth="1"/>
  </cols>
  <sheetData>
    <row r="1" spans="1:16" ht="18">
      <c r="A1" s="388" t="s">
        <v>440</v>
      </c>
      <c r="B1" s="389"/>
      <c r="C1" s="389"/>
      <c r="D1" s="389"/>
      <c r="E1" s="389"/>
      <c r="F1" s="389"/>
      <c r="G1" s="389"/>
      <c r="H1" s="389"/>
      <c r="I1" s="389"/>
      <c r="J1" s="389"/>
      <c r="K1" s="389"/>
      <c r="L1" s="389"/>
      <c r="M1" s="389"/>
      <c r="N1" s="389"/>
      <c r="O1" s="389"/>
      <c r="P1" s="389"/>
    </row>
    <row r="2" spans="1:16" ht="15">
      <c r="A2" s="392" t="s">
        <v>435</v>
      </c>
      <c r="B2" s="393"/>
      <c r="C2" s="393"/>
      <c r="D2" s="393"/>
      <c r="E2" s="393"/>
      <c r="F2" s="393"/>
      <c r="G2" s="393"/>
      <c r="H2" s="393"/>
      <c r="I2" s="394"/>
      <c r="J2" s="393"/>
      <c r="K2" s="393"/>
      <c r="L2" s="393"/>
      <c r="M2" s="393"/>
      <c r="N2" s="393"/>
      <c r="O2" s="393"/>
      <c r="P2" s="393"/>
    </row>
    <row r="3" spans="1:16" ht="15">
      <c r="A3" s="392"/>
      <c r="B3" s="395"/>
      <c r="C3" s="395"/>
      <c r="D3" s="395"/>
      <c r="E3" s="395"/>
      <c r="F3" s="395"/>
      <c r="G3" s="395"/>
      <c r="H3" s="395"/>
      <c r="I3" s="395"/>
      <c r="J3" s="395"/>
      <c r="K3" s="395"/>
      <c r="L3" s="395"/>
      <c r="M3" s="395"/>
      <c r="N3" s="395"/>
      <c r="O3" s="395"/>
      <c r="P3" s="395"/>
    </row>
    <row r="4" spans="1:16" ht="15">
      <c r="A4" s="469" t="s">
        <v>436</v>
      </c>
      <c r="B4" s="470">
        <v>20</v>
      </c>
      <c r="C4" s="469"/>
      <c r="D4" s="469" t="s">
        <v>437</v>
      </c>
      <c r="E4" s="470">
        <v>9</v>
      </c>
      <c r="F4" s="469"/>
      <c r="G4" s="469" t="s">
        <v>438</v>
      </c>
      <c r="H4" s="707">
        <f>VLOOKUP(B4,A7:M47,E4+2)</f>
        <v>45.35</v>
      </c>
      <c r="I4" s="708"/>
      <c r="J4" s="469"/>
      <c r="K4" s="469"/>
      <c r="L4" s="469"/>
      <c r="M4" s="469"/>
      <c r="N4" s="469"/>
      <c r="O4" s="469"/>
      <c r="P4" s="469"/>
    </row>
    <row r="5" spans="1:16" ht="15">
      <c r="A5" s="469"/>
      <c r="B5" s="469"/>
      <c r="C5" s="469"/>
      <c r="D5" s="469"/>
      <c r="E5" s="469"/>
      <c r="F5" s="469"/>
      <c r="G5" s="469"/>
      <c r="H5" s="469"/>
      <c r="I5" s="469"/>
      <c r="J5" s="469"/>
      <c r="K5" s="471">
        <v>0.19444</v>
      </c>
      <c r="L5" s="469"/>
      <c r="M5" s="469"/>
      <c r="N5" s="469"/>
      <c r="O5" s="469"/>
      <c r="P5" s="469"/>
    </row>
    <row r="6" spans="1:16" ht="12.75">
      <c r="A6" s="472" t="s">
        <v>439</v>
      </c>
      <c r="B6" s="473">
        <v>0</v>
      </c>
      <c r="C6" s="473">
        <v>1</v>
      </c>
      <c r="D6" s="473">
        <v>2</v>
      </c>
      <c r="E6" s="473">
        <v>3</v>
      </c>
      <c r="F6" s="473">
        <v>4</v>
      </c>
      <c r="G6" s="473">
        <v>5</v>
      </c>
      <c r="H6" s="473">
        <v>6</v>
      </c>
      <c r="I6" s="473">
        <v>7</v>
      </c>
      <c r="J6" s="473">
        <v>8</v>
      </c>
      <c r="K6" s="473">
        <v>9</v>
      </c>
      <c r="L6" s="473">
        <v>70</v>
      </c>
      <c r="M6" s="473">
        <v>11</v>
      </c>
      <c r="N6" s="13"/>
      <c r="O6" s="13"/>
      <c r="P6" s="13"/>
    </row>
    <row r="7" spans="1:16" ht="12.75">
      <c r="A7" s="473">
        <v>0</v>
      </c>
      <c r="B7" s="474">
        <v>0</v>
      </c>
      <c r="C7" s="474">
        <f aca="true" t="shared" si="0" ref="C7:M7">$B$7+$K$5*C6</f>
        <v>0.19444</v>
      </c>
      <c r="D7" s="474">
        <f t="shared" si="0"/>
        <v>0.38888</v>
      </c>
      <c r="E7" s="474">
        <f t="shared" si="0"/>
        <v>0.5833200000000001</v>
      </c>
      <c r="F7" s="474">
        <f t="shared" si="0"/>
        <v>0.77776</v>
      </c>
      <c r="G7" s="474">
        <f t="shared" si="0"/>
        <v>0.9722</v>
      </c>
      <c r="H7" s="474">
        <f t="shared" si="0"/>
        <v>1.1666400000000001</v>
      </c>
      <c r="I7" s="474">
        <f t="shared" si="0"/>
        <v>1.36108</v>
      </c>
      <c r="J7" s="474">
        <f t="shared" si="0"/>
        <v>1.55552</v>
      </c>
      <c r="K7" s="474">
        <f t="shared" si="0"/>
        <v>1.74996</v>
      </c>
      <c r="L7" s="474">
        <f t="shared" si="0"/>
        <v>13.6108</v>
      </c>
      <c r="M7" s="474">
        <f t="shared" si="0"/>
        <v>2.13884</v>
      </c>
      <c r="N7" s="13"/>
      <c r="O7" s="13"/>
      <c r="P7" s="13"/>
    </row>
    <row r="8" spans="1:16" ht="12.75">
      <c r="A8" s="473">
        <v>1</v>
      </c>
      <c r="B8" s="474">
        <f aca="true" t="shared" si="1" ref="B8:B21">2.33333*A8</f>
        <v>2.33333</v>
      </c>
      <c r="C8" s="474">
        <f aca="true" t="shared" si="2" ref="C8:M8">$B$8+$K$5*C6</f>
        <v>2.5277700000000003</v>
      </c>
      <c r="D8" s="474">
        <f t="shared" si="2"/>
        <v>2.72221</v>
      </c>
      <c r="E8" s="474">
        <f t="shared" si="2"/>
        <v>2.91665</v>
      </c>
      <c r="F8" s="474">
        <f t="shared" si="2"/>
        <v>3.11109</v>
      </c>
      <c r="G8" s="474">
        <f t="shared" si="2"/>
        <v>3.30553</v>
      </c>
      <c r="H8" s="474">
        <f t="shared" si="2"/>
        <v>3.4999700000000002</v>
      </c>
      <c r="I8" s="474">
        <f t="shared" si="2"/>
        <v>3.6944100000000004</v>
      </c>
      <c r="J8" s="474">
        <f t="shared" si="2"/>
        <v>3.88885</v>
      </c>
      <c r="K8" s="474">
        <f t="shared" si="2"/>
        <v>4.08329</v>
      </c>
      <c r="L8" s="474">
        <f t="shared" si="2"/>
        <v>15.94413</v>
      </c>
      <c r="M8" s="474">
        <f t="shared" si="2"/>
        <v>4.47217</v>
      </c>
      <c r="N8" s="13"/>
      <c r="O8" s="13"/>
      <c r="P8" s="13"/>
    </row>
    <row r="9" spans="1:16" ht="12.75">
      <c r="A9" s="473">
        <v>2</v>
      </c>
      <c r="B9" s="474">
        <f t="shared" si="1"/>
        <v>4.66666</v>
      </c>
      <c r="C9" s="474">
        <f aca="true" t="shared" si="3" ref="C9:M9">$B$9+$K$5*C6</f>
        <v>4.8611</v>
      </c>
      <c r="D9" s="474">
        <f t="shared" si="3"/>
        <v>5.055540000000001</v>
      </c>
      <c r="E9" s="474">
        <f t="shared" si="3"/>
        <v>5.249980000000001</v>
      </c>
      <c r="F9" s="474">
        <f t="shared" si="3"/>
        <v>5.44442</v>
      </c>
      <c r="G9" s="474">
        <f t="shared" si="3"/>
        <v>5.63886</v>
      </c>
      <c r="H9" s="474">
        <f t="shared" si="3"/>
        <v>5.8333</v>
      </c>
      <c r="I9" s="474">
        <f t="shared" si="3"/>
        <v>6.0277400000000005</v>
      </c>
      <c r="J9" s="474">
        <f t="shared" si="3"/>
        <v>6.22218</v>
      </c>
      <c r="K9" s="474">
        <f t="shared" si="3"/>
        <v>6.41662</v>
      </c>
      <c r="L9" s="474">
        <f t="shared" si="3"/>
        <v>18.277459999999998</v>
      </c>
      <c r="M9" s="474">
        <f t="shared" si="3"/>
        <v>6.8055</v>
      </c>
      <c r="N9" s="13"/>
      <c r="O9" s="13"/>
      <c r="P9" s="13"/>
    </row>
    <row r="10" spans="1:16" ht="12.75">
      <c r="A10" s="473">
        <v>3</v>
      </c>
      <c r="B10" s="474">
        <f t="shared" si="1"/>
        <v>6.99999</v>
      </c>
      <c r="C10" s="474">
        <f aca="true" t="shared" si="4" ref="C10:M10">$B$10+$K$5*C6</f>
        <v>7.1944300000000005</v>
      </c>
      <c r="D10" s="474">
        <f t="shared" si="4"/>
        <v>7.388870000000001</v>
      </c>
      <c r="E10" s="474">
        <f t="shared" si="4"/>
        <v>7.583310000000001</v>
      </c>
      <c r="F10" s="474">
        <f t="shared" si="4"/>
        <v>7.77775</v>
      </c>
      <c r="G10" s="474">
        <f t="shared" si="4"/>
        <v>7.97219</v>
      </c>
      <c r="H10" s="474">
        <f t="shared" si="4"/>
        <v>8.166630000000001</v>
      </c>
      <c r="I10" s="474">
        <f t="shared" si="4"/>
        <v>8.36107</v>
      </c>
      <c r="J10" s="474">
        <f t="shared" si="4"/>
        <v>8.55551</v>
      </c>
      <c r="K10" s="474">
        <f t="shared" si="4"/>
        <v>8.74995</v>
      </c>
      <c r="L10" s="474">
        <f t="shared" si="4"/>
        <v>20.61079</v>
      </c>
      <c r="M10" s="474">
        <f t="shared" si="4"/>
        <v>9.13883</v>
      </c>
      <c r="N10" s="13"/>
      <c r="O10" s="13"/>
      <c r="P10" s="13"/>
    </row>
    <row r="11" spans="1:16" ht="12.75">
      <c r="A11" s="473">
        <v>4</v>
      </c>
      <c r="B11" s="474">
        <f t="shared" si="1"/>
        <v>9.33332</v>
      </c>
      <c r="C11" s="474">
        <f aca="true" t="shared" si="5" ref="C11:M11">$B$11+$K$5*C6</f>
        <v>9.52776</v>
      </c>
      <c r="D11" s="474">
        <f t="shared" si="5"/>
        <v>9.7222</v>
      </c>
      <c r="E11" s="474">
        <f t="shared" si="5"/>
        <v>9.916640000000001</v>
      </c>
      <c r="F11" s="474">
        <f t="shared" si="5"/>
        <v>10.111080000000001</v>
      </c>
      <c r="G11" s="474">
        <f t="shared" si="5"/>
        <v>10.305520000000001</v>
      </c>
      <c r="H11" s="474">
        <f t="shared" si="5"/>
        <v>10.499960000000002</v>
      </c>
      <c r="I11" s="474">
        <f t="shared" si="5"/>
        <v>10.6944</v>
      </c>
      <c r="J11" s="474">
        <f t="shared" si="5"/>
        <v>10.88884</v>
      </c>
      <c r="K11" s="474">
        <f t="shared" si="5"/>
        <v>11.08328</v>
      </c>
      <c r="L11" s="474">
        <f t="shared" si="5"/>
        <v>22.944119999999998</v>
      </c>
      <c r="M11" s="474">
        <f t="shared" si="5"/>
        <v>11.47216</v>
      </c>
      <c r="N11" s="13"/>
      <c r="O11" s="13"/>
      <c r="P11" s="13"/>
    </row>
    <row r="12" spans="1:16" ht="12.75">
      <c r="A12" s="473">
        <v>5</v>
      </c>
      <c r="B12" s="474">
        <f t="shared" si="1"/>
        <v>11.66665</v>
      </c>
      <c r="C12" s="474">
        <f aca="true" t="shared" si="6" ref="C12:M12">$B$12+$K$5*C6</f>
        <v>11.86109</v>
      </c>
      <c r="D12" s="474">
        <f t="shared" si="6"/>
        <v>12.055530000000001</v>
      </c>
      <c r="E12" s="474">
        <f t="shared" si="6"/>
        <v>12.249970000000001</v>
      </c>
      <c r="F12" s="474">
        <f t="shared" si="6"/>
        <v>12.444410000000001</v>
      </c>
      <c r="G12" s="474">
        <f t="shared" si="6"/>
        <v>12.638850000000001</v>
      </c>
      <c r="H12" s="474">
        <f t="shared" si="6"/>
        <v>12.833290000000002</v>
      </c>
      <c r="I12" s="474">
        <f t="shared" si="6"/>
        <v>13.02773</v>
      </c>
      <c r="J12" s="474">
        <f t="shared" si="6"/>
        <v>13.22217</v>
      </c>
      <c r="K12" s="474">
        <f t="shared" si="6"/>
        <v>13.41661</v>
      </c>
      <c r="L12" s="474">
        <f t="shared" si="6"/>
        <v>25.27745</v>
      </c>
      <c r="M12" s="474">
        <f t="shared" si="6"/>
        <v>13.80549</v>
      </c>
      <c r="N12" s="13"/>
      <c r="O12" s="13"/>
      <c r="P12" s="13"/>
    </row>
    <row r="13" spans="1:16" ht="12.75">
      <c r="A13" s="473">
        <v>6</v>
      </c>
      <c r="B13" s="474">
        <f t="shared" si="1"/>
        <v>13.99998</v>
      </c>
      <c r="C13" s="474">
        <f aca="true" t="shared" si="7" ref="C13:M13">$B$13+$K$5*C6</f>
        <v>14.194420000000001</v>
      </c>
      <c r="D13" s="474">
        <f t="shared" si="7"/>
        <v>14.388860000000001</v>
      </c>
      <c r="E13" s="474">
        <f t="shared" si="7"/>
        <v>14.583300000000001</v>
      </c>
      <c r="F13" s="474">
        <f t="shared" si="7"/>
        <v>14.777740000000001</v>
      </c>
      <c r="G13" s="474">
        <f t="shared" si="7"/>
        <v>14.972180000000002</v>
      </c>
      <c r="H13" s="474">
        <f t="shared" si="7"/>
        <v>15.166620000000002</v>
      </c>
      <c r="I13" s="474">
        <f t="shared" si="7"/>
        <v>15.36106</v>
      </c>
      <c r="J13" s="474">
        <f t="shared" si="7"/>
        <v>15.5555</v>
      </c>
      <c r="K13" s="474">
        <f t="shared" si="7"/>
        <v>15.74994</v>
      </c>
      <c r="L13" s="474">
        <f t="shared" si="7"/>
        <v>27.61078</v>
      </c>
      <c r="M13" s="474">
        <f t="shared" si="7"/>
        <v>16.138820000000003</v>
      </c>
      <c r="N13" s="13"/>
      <c r="O13" s="13"/>
      <c r="P13" s="13"/>
    </row>
    <row r="14" spans="1:16" ht="12.75">
      <c r="A14" s="473">
        <v>7</v>
      </c>
      <c r="B14" s="474">
        <f t="shared" si="1"/>
        <v>16.33331</v>
      </c>
      <c r="C14" s="474">
        <f aca="true" t="shared" si="8" ref="C14:M14">$B$14+$K$5*C6</f>
        <v>16.52775</v>
      </c>
      <c r="D14" s="474">
        <f t="shared" si="8"/>
        <v>16.72219</v>
      </c>
      <c r="E14" s="474">
        <f t="shared" si="8"/>
        <v>16.91663</v>
      </c>
      <c r="F14" s="474">
        <f t="shared" si="8"/>
        <v>17.11107</v>
      </c>
      <c r="G14" s="474">
        <f t="shared" si="8"/>
        <v>17.30551</v>
      </c>
      <c r="H14" s="474">
        <f t="shared" si="8"/>
        <v>17.499950000000002</v>
      </c>
      <c r="I14" s="474">
        <f t="shared" si="8"/>
        <v>17.694390000000002</v>
      </c>
      <c r="J14" s="474">
        <f t="shared" si="8"/>
        <v>17.888830000000002</v>
      </c>
      <c r="K14" s="474">
        <f t="shared" si="8"/>
        <v>18.083270000000002</v>
      </c>
      <c r="L14" s="474">
        <f t="shared" si="8"/>
        <v>29.944110000000002</v>
      </c>
      <c r="M14" s="474">
        <f t="shared" si="8"/>
        <v>18.47215</v>
      </c>
      <c r="N14" s="13"/>
      <c r="O14" s="13"/>
      <c r="P14" s="13"/>
    </row>
    <row r="15" spans="1:16" ht="12.75">
      <c r="A15" s="473">
        <v>8</v>
      </c>
      <c r="B15" s="474">
        <f t="shared" si="1"/>
        <v>18.66664</v>
      </c>
      <c r="C15" s="474">
        <f aca="true" t="shared" si="9" ref="C15:M15">$B$15+$K$5*C6</f>
        <v>18.86108</v>
      </c>
      <c r="D15" s="474">
        <f t="shared" si="9"/>
        <v>19.05552</v>
      </c>
      <c r="E15" s="474">
        <f t="shared" si="9"/>
        <v>19.24996</v>
      </c>
      <c r="F15" s="474">
        <f t="shared" si="9"/>
        <v>19.4444</v>
      </c>
      <c r="G15" s="474">
        <f t="shared" si="9"/>
        <v>19.638840000000002</v>
      </c>
      <c r="H15" s="474">
        <f t="shared" si="9"/>
        <v>19.833280000000002</v>
      </c>
      <c r="I15" s="474">
        <f t="shared" si="9"/>
        <v>20.027720000000002</v>
      </c>
      <c r="J15" s="474">
        <f t="shared" si="9"/>
        <v>20.222160000000002</v>
      </c>
      <c r="K15" s="474">
        <f t="shared" si="9"/>
        <v>20.416600000000003</v>
      </c>
      <c r="L15" s="474">
        <f t="shared" si="9"/>
        <v>32.27744</v>
      </c>
      <c r="M15" s="474">
        <f t="shared" si="9"/>
        <v>20.805480000000003</v>
      </c>
      <c r="N15" s="13"/>
      <c r="O15" s="13"/>
      <c r="P15" s="13"/>
    </row>
    <row r="16" spans="1:16" ht="12.75">
      <c r="A16" s="473">
        <v>9</v>
      </c>
      <c r="B16" s="474">
        <f t="shared" si="1"/>
        <v>20.99997</v>
      </c>
      <c r="C16" s="474">
        <f aca="true" t="shared" si="10" ref="C16:M16">$B$16+$K$5*C6</f>
        <v>21.19441</v>
      </c>
      <c r="D16" s="474">
        <f t="shared" si="10"/>
        <v>21.38885</v>
      </c>
      <c r="E16" s="474">
        <f t="shared" si="10"/>
        <v>21.58329</v>
      </c>
      <c r="F16" s="474">
        <f t="shared" si="10"/>
        <v>21.777730000000002</v>
      </c>
      <c r="G16" s="474">
        <f t="shared" si="10"/>
        <v>21.972170000000002</v>
      </c>
      <c r="H16" s="474">
        <f t="shared" si="10"/>
        <v>22.166610000000002</v>
      </c>
      <c r="I16" s="474">
        <f t="shared" si="10"/>
        <v>22.361050000000002</v>
      </c>
      <c r="J16" s="474">
        <f t="shared" si="10"/>
        <v>22.555490000000002</v>
      </c>
      <c r="K16" s="474">
        <f t="shared" si="10"/>
        <v>22.749930000000003</v>
      </c>
      <c r="L16" s="474">
        <f t="shared" si="10"/>
        <v>34.61077</v>
      </c>
      <c r="M16" s="474">
        <f t="shared" si="10"/>
        <v>23.13881</v>
      </c>
      <c r="N16" s="13"/>
      <c r="O16" s="13"/>
      <c r="P16" s="13"/>
    </row>
    <row r="17" spans="1:16" ht="12.75">
      <c r="A17" s="473">
        <v>10</v>
      </c>
      <c r="B17" s="474">
        <f t="shared" si="1"/>
        <v>23.3333</v>
      </c>
      <c r="C17" s="474">
        <f aca="true" t="shared" si="11" ref="C17:M17">$B$17+$K$5*C6</f>
        <v>23.52774</v>
      </c>
      <c r="D17" s="474">
        <f t="shared" si="11"/>
        <v>23.72218</v>
      </c>
      <c r="E17" s="474">
        <f t="shared" si="11"/>
        <v>23.91662</v>
      </c>
      <c r="F17" s="474">
        <f t="shared" si="11"/>
        <v>24.111060000000002</v>
      </c>
      <c r="G17" s="474">
        <f t="shared" si="11"/>
        <v>24.305500000000002</v>
      </c>
      <c r="H17" s="474">
        <f t="shared" si="11"/>
        <v>24.499940000000002</v>
      </c>
      <c r="I17" s="474">
        <f t="shared" si="11"/>
        <v>24.694380000000002</v>
      </c>
      <c r="J17" s="474">
        <f t="shared" si="11"/>
        <v>24.888820000000003</v>
      </c>
      <c r="K17" s="474">
        <f t="shared" si="11"/>
        <v>25.083260000000003</v>
      </c>
      <c r="L17" s="474">
        <f t="shared" si="11"/>
        <v>36.9441</v>
      </c>
      <c r="M17" s="474">
        <f t="shared" si="11"/>
        <v>25.472140000000003</v>
      </c>
      <c r="N17" s="13"/>
      <c r="O17" s="475"/>
      <c r="P17" s="13"/>
    </row>
    <row r="18" spans="1:16" ht="12.75">
      <c r="A18" s="473">
        <v>11</v>
      </c>
      <c r="B18" s="474">
        <f t="shared" si="1"/>
        <v>25.66663</v>
      </c>
      <c r="C18" s="474">
        <f aca="true" t="shared" si="12" ref="C18:M18">$B$18+$K$5*C6</f>
        <v>25.86107</v>
      </c>
      <c r="D18" s="474">
        <f t="shared" si="12"/>
        <v>26.05551</v>
      </c>
      <c r="E18" s="474">
        <f t="shared" si="12"/>
        <v>26.249950000000002</v>
      </c>
      <c r="F18" s="474">
        <f t="shared" si="12"/>
        <v>26.444390000000002</v>
      </c>
      <c r="G18" s="474">
        <f t="shared" si="12"/>
        <v>26.638830000000002</v>
      </c>
      <c r="H18" s="474">
        <f t="shared" si="12"/>
        <v>26.833270000000002</v>
      </c>
      <c r="I18" s="474">
        <f t="shared" si="12"/>
        <v>27.027710000000003</v>
      </c>
      <c r="J18" s="474">
        <f t="shared" si="12"/>
        <v>27.222150000000003</v>
      </c>
      <c r="K18" s="474">
        <f t="shared" si="12"/>
        <v>27.416590000000003</v>
      </c>
      <c r="L18" s="474">
        <f t="shared" si="12"/>
        <v>39.27743</v>
      </c>
      <c r="M18" s="474">
        <f t="shared" si="12"/>
        <v>27.80547</v>
      </c>
      <c r="N18" s="13"/>
      <c r="O18" s="13"/>
      <c r="P18" s="13"/>
    </row>
    <row r="19" spans="1:16" ht="12.75">
      <c r="A19" s="473">
        <v>12</v>
      </c>
      <c r="B19" s="474">
        <f t="shared" si="1"/>
        <v>27.99996</v>
      </c>
      <c r="C19" s="474">
        <f aca="true" t="shared" si="13" ref="C19:M19">$B$19+$K$5*C6</f>
        <v>28.1944</v>
      </c>
      <c r="D19" s="474">
        <f t="shared" si="13"/>
        <v>28.388840000000002</v>
      </c>
      <c r="E19" s="474">
        <f t="shared" si="13"/>
        <v>28.583280000000002</v>
      </c>
      <c r="F19" s="474">
        <f t="shared" si="13"/>
        <v>28.777720000000002</v>
      </c>
      <c r="G19" s="474">
        <f t="shared" si="13"/>
        <v>28.972160000000002</v>
      </c>
      <c r="H19" s="474">
        <f t="shared" si="13"/>
        <v>29.166600000000003</v>
      </c>
      <c r="I19" s="474">
        <f t="shared" si="13"/>
        <v>29.361040000000003</v>
      </c>
      <c r="J19" s="474">
        <f t="shared" si="13"/>
        <v>29.555480000000003</v>
      </c>
      <c r="K19" s="474">
        <f t="shared" si="13"/>
        <v>29.749920000000003</v>
      </c>
      <c r="L19" s="474">
        <f t="shared" si="13"/>
        <v>41.61076</v>
      </c>
      <c r="M19" s="474">
        <f t="shared" si="13"/>
        <v>30.138800000000003</v>
      </c>
      <c r="N19" s="13"/>
      <c r="O19" s="13"/>
      <c r="P19" s="13"/>
    </row>
    <row r="20" spans="1:16" ht="12.75">
      <c r="A20" s="473">
        <v>13</v>
      </c>
      <c r="B20" s="474">
        <f t="shared" si="1"/>
        <v>30.33329</v>
      </c>
      <c r="C20" s="474">
        <f aca="true" t="shared" si="14" ref="C20:M20">$B$20+$K$5*C6</f>
        <v>30.527730000000002</v>
      </c>
      <c r="D20" s="474">
        <f t="shared" si="14"/>
        <v>30.722170000000002</v>
      </c>
      <c r="E20" s="474">
        <f t="shared" si="14"/>
        <v>30.916610000000002</v>
      </c>
      <c r="F20" s="474">
        <f t="shared" si="14"/>
        <v>31.111050000000002</v>
      </c>
      <c r="G20" s="474">
        <f t="shared" si="14"/>
        <v>31.305490000000002</v>
      </c>
      <c r="H20" s="474">
        <f t="shared" si="14"/>
        <v>31.499930000000003</v>
      </c>
      <c r="I20" s="474">
        <f t="shared" si="14"/>
        <v>31.694370000000003</v>
      </c>
      <c r="J20" s="474">
        <f t="shared" si="14"/>
        <v>31.888810000000003</v>
      </c>
      <c r="K20" s="474">
        <f t="shared" si="14"/>
        <v>32.08325</v>
      </c>
      <c r="L20" s="474">
        <f t="shared" si="14"/>
        <v>43.94409</v>
      </c>
      <c r="M20" s="474">
        <f t="shared" si="14"/>
        <v>32.47213</v>
      </c>
      <c r="N20" s="13"/>
      <c r="O20" s="13"/>
      <c r="P20" s="13"/>
    </row>
    <row r="21" spans="1:16" ht="12.75">
      <c r="A21" s="473">
        <v>14</v>
      </c>
      <c r="B21" s="474">
        <f t="shared" si="1"/>
        <v>32.66662</v>
      </c>
      <c r="C21" s="474">
        <f aca="true" t="shared" si="15" ref="C21:M21">$B$21+$K$5*C6</f>
        <v>32.86106</v>
      </c>
      <c r="D21" s="474">
        <f t="shared" si="15"/>
        <v>33.0555</v>
      </c>
      <c r="E21" s="474">
        <f t="shared" si="15"/>
        <v>33.24994</v>
      </c>
      <c r="F21" s="474">
        <f t="shared" si="15"/>
        <v>33.44438</v>
      </c>
      <c r="G21" s="474">
        <f t="shared" si="15"/>
        <v>33.63882</v>
      </c>
      <c r="H21" s="474">
        <f t="shared" si="15"/>
        <v>33.83326</v>
      </c>
      <c r="I21" s="474">
        <f t="shared" si="15"/>
        <v>34.0277</v>
      </c>
      <c r="J21" s="474">
        <f t="shared" si="15"/>
        <v>34.22214</v>
      </c>
      <c r="K21" s="474">
        <f t="shared" si="15"/>
        <v>34.41658</v>
      </c>
      <c r="L21" s="474">
        <f t="shared" si="15"/>
        <v>46.27742</v>
      </c>
      <c r="M21" s="474">
        <f t="shared" si="15"/>
        <v>34.805460000000004</v>
      </c>
      <c r="N21" s="13"/>
      <c r="O21" s="13"/>
      <c r="P21" s="13"/>
    </row>
    <row r="22" spans="1:16" ht="12.75">
      <c r="A22" s="473">
        <v>15</v>
      </c>
      <c r="B22" s="474">
        <v>35</v>
      </c>
      <c r="C22" s="474">
        <f aca="true" t="shared" si="16" ref="C22:M22">$B$22+0.15*C6</f>
        <v>35.15</v>
      </c>
      <c r="D22" s="474">
        <f t="shared" si="16"/>
        <v>35.3</v>
      </c>
      <c r="E22" s="474">
        <f t="shared" si="16"/>
        <v>35.45</v>
      </c>
      <c r="F22" s="474">
        <f t="shared" si="16"/>
        <v>35.6</v>
      </c>
      <c r="G22" s="474">
        <f t="shared" si="16"/>
        <v>35.75</v>
      </c>
      <c r="H22" s="474">
        <f t="shared" si="16"/>
        <v>35.9</v>
      </c>
      <c r="I22" s="474">
        <f t="shared" si="16"/>
        <v>36.05</v>
      </c>
      <c r="J22" s="474">
        <f t="shared" si="16"/>
        <v>36.2</v>
      </c>
      <c r="K22" s="474">
        <f t="shared" si="16"/>
        <v>36.35</v>
      </c>
      <c r="L22" s="474">
        <f t="shared" si="16"/>
        <v>45.5</v>
      </c>
      <c r="M22" s="474">
        <f t="shared" si="16"/>
        <v>36.65</v>
      </c>
      <c r="N22" s="13"/>
      <c r="O22" s="13"/>
      <c r="P22" s="13"/>
    </row>
    <row r="23" spans="1:16" ht="12.75">
      <c r="A23" s="473">
        <v>16</v>
      </c>
      <c r="B23" s="474">
        <f aca="true" t="shared" si="17" ref="B23:B47">35+1.8*(A23-15)</f>
        <v>36.8</v>
      </c>
      <c r="C23" s="474">
        <f aca="true" t="shared" si="18" ref="C23:M23">$B$23+0.15*C6</f>
        <v>36.949999999999996</v>
      </c>
      <c r="D23" s="474">
        <f t="shared" si="18"/>
        <v>37.099999999999994</v>
      </c>
      <c r="E23" s="474">
        <f t="shared" si="18"/>
        <v>37.25</v>
      </c>
      <c r="F23" s="474">
        <f t="shared" si="18"/>
        <v>37.4</v>
      </c>
      <c r="G23" s="474">
        <f t="shared" si="18"/>
        <v>37.55</v>
      </c>
      <c r="H23" s="474">
        <f t="shared" si="18"/>
        <v>37.699999999999996</v>
      </c>
      <c r="I23" s="474">
        <f t="shared" si="18"/>
        <v>37.849999999999994</v>
      </c>
      <c r="J23" s="474">
        <f t="shared" si="18"/>
        <v>38</v>
      </c>
      <c r="K23" s="474">
        <f t="shared" si="18"/>
        <v>38.15</v>
      </c>
      <c r="L23" s="474">
        <f t="shared" si="18"/>
        <v>47.3</v>
      </c>
      <c r="M23" s="474">
        <f t="shared" si="18"/>
        <v>38.449999999999996</v>
      </c>
      <c r="N23" s="13"/>
      <c r="O23" s="13"/>
      <c r="P23" s="13"/>
    </row>
    <row r="24" spans="1:16" ht="12.75">
      <c r="A24" s="473">
        <v>17</v>
      </c>
      <c r="B24" s="474">
        <f t="shared" si="17"/>
        <v>38.6</v>
      </c>
      <c r="C24" s="474">
        <f aca="true" t="shared" si="19" ref="C24:M24">$B$24+0.15*C6</f>
        <v>38.75</v>
      </c>
      <c r="D24" s="474">
        <f t="shared" si="19"/>
        <v>38.9</v>
      </c>
      <c r="E24" s="474">
        <f t="shared" si="19"/>
        <v>39.050000000000004</v>
      </c>
      <c r="F24" s="474">
        <f t="shared" si="19"/>
        <v>39.2</v>
      </c>
      <c r="G24" s="474">
        <f t="shared" si="19"/>
        <v>39.35</v>
      </c>
      <c r="H24" s="474">
        <f t="shared" si="19"/>
        <v>39.5</v>
      </c>
      <c r="I24" s="474">
        <f t="shared" si="19"/>
        <v>39.65</v>
      </c>
      <c r="J24" s="474">
        <f t="shared" si="19"/>
        <v>39.800000000000004</v>
      </c>
      <c r="K24" s="474">
        <f t="shared" si="19"/>
        <v>39.95</v>
      </c>
      <c r="L24" s="474">
        <f t="shared" si="19"/>
        <v>49.1</v>
      </c>
      <c r="M24" s="474">
        <f t="shared" si="19"/>
        <v>40.25</v>
      </c>
      <c r="N24" s="13"/>
      <c r="O24" s="13"/>
      <c r="P24" s="13"/>
    </row>
    <row r="25" spans="1:16" ht="12.75">
      <c r="A25" s="473">
        <v>18</v>
      </c>
      <c r="B25" s="474">
        <f t="shared" si="17"/>
        <v>40.4</v>
      </c>
      <c r="C25" s="474">
        <f aca="true" t="shared" si="20" ref="C25:M25">$B$25+0.15*C6</f>
        <v>40.55</v>
      </c>
      <c r="D25" s="474">
        <f t="shared" si="20"/>
        <v>40.699999999999996</v>
      </c>
      <c r="E25" s="474">
        <f t="shared" si="20"/>
        <v>40.85</v>
      </c>
      <c r="F25" s="474">
        <f t="shared" si="20"/>
        <v>41</v>
      </c>
      <c r="G25" s="474">
        <f t="shared" si="20"/>
        <v>41.15</v>
      </c>
      <c r="H25" s="474">
        <f t="shared" si="20"/>
        <v>41.3</v>
      </c>
      <c r="I25" s="474">
        <f t="shared" si="20"/>
        <v>41.449999999999996</v>
      </c>
      <c r="J25" s="474">
        <f t="shared" si="20"/>
        <v>41.6</v>
      </c>
      <c r="K25" s="474">
        <f t="shared" si="20"/>
        <v>41.75</v>
      </c>
      <c r="L25" s="474">
        <f t="shared" si="20"/>
        <v>50.9</v>
      </c>
      <c r="M25" s="474">
        <f t="shared" si="20"/>
        <v>42.05</v>
      </c>
      <c r="N25" s="13"/>
      <c r="O25" s="13"/>
      <c r="P25" s="13"/>
    </row>
    <row r="26" spans="1:16" ht="12.75">
      <c r="A26" s="473">
        <v>19</v>
      </c>
      <c r="B26" s="474">
        <f t="shared" si="17"/>
        <v>42.2</v>
      </c>
      <c r="C26" s="474">
        <f aca="true" t="shared" si="21" ref="C26:M26">$B$26+0.15*C6</f>
        <v>42.35</v>
      </c>
      <c r="D26" s="474">
        <f t="shared" si="21"/>
        <v>42.5</v>
      </c>
      <c r="E26" s="474">
        <f t="shared" si="21"/>
        <v>42.650000000000006</v>
      </c>
      <c r="F26" s="474">
        <f t="shared" si="21"/>
        <v>42.800000000000004</v>
      </c>
      <c r="G26" s="474">
        <f t="shared" si="21"/>
        <v>42.95</v>
      </c>
      <c r="H26" s="474">
        <f t="shared" si="21"/>
        <v>43.1</v>
      </c>
      <c r="I26" s="474">
        <f t="shared" si="21"/>
        <v>43.25</v>
      </c>
      <c r="J26" s="474">
        <f t="shared" si="21"/>
        <v>43.400000000000006</v>
      </c>
      <c r="K26" s="474">
        <f t="shared" si="21"/>
        <v>43.550000000000004</v>
      </c>
      <c r="L26" s="474">
        <f t="shared" si="21"/>
        <v>52.7</v>
      </c>
      <c r="M26" s="474">
        <f t="shared" si="21"/>
        <v>43.85</v>
      </c>
      <c r="N26" s="13"/>
      <c r="O26" s="13"/>
      <c r="P26" s="13"/>
    </row>
    <row r="27" spans="1:16" ht="12.75">
      <c r="A27" s="473">
        <v>20</v>
      </c>
      <c r="B27" s="474">
        <f t="shared" si="17"/>
        <v>44</v>
      </c>
      <c r="C27" s="474">
        <f aca="true" t="shared" si="22" ref="C27:M27">$B$27+0.15*C6</f>
        <v>44.15</v>
      </c>
      <c r="D27" s="474">
        <f t="shared" si="22"/>
        <v>44.3</v>
      </c>
      <c r="E27" s="474">
        <f t="shared" si="22"/>
        <v>44.45</v>
      </c>
      <c r="F27" s="474">
        <f t="shared" si="22"/>
        <v>44.6</v>
      </c>
      <c r="G27" s="474">
        <f t="shared" si="22"/>
        <v>44.75</v>
      </c>
      <c r="H27" s="474">
        <f t="shared" si="22"/>
        <v>44.9</v>
      </c>
      <c r="I27" s="474">
        <f t="shared" si="22"/>
        <v>45.05</v>
      </c>
      <c r="J27" s="474">
        <f t="shared" si="22"/>
        <v>45.2</v>
      </c>
      <c r="K27" s="474">
        <f t="shared" si="22"/>
        <v>45.35</v>
      </c>
      <c r="L27" s="474">
        <f t="shared" si="22"/>
        <v>54.5</v>
      </c>
      <c r="M27" s="474">
        <f t="shared" si="22"/>
        <v>45.65</v>
      </c>
      <c r="N27" s="13"/>
      <c r="O27" s="13"/>
      <c r="P27" s="13"/>
    </row>
    <row r="28" spans="1:16" ht="12.75">
      <c r="A28" s="473">
        <v>21</v>
      </c>
      <c r="B28" s="474">
        <f t="shared" si="17"/>
        <v>45.8</v>
      </c>
      <c r="C28" s="474">
        <f aca="true" t="shared" si="23" ref="C28:M28">$B$28+0.15*C6</f>
        <v>45.949999999999996</v>
      </c>
      <c r="D28" s="474">
        <f t="shared" si="23"/>
        <v>46.099999999999994</v>
      </c>
      <c r="E28" s="474">
        <f t="shared" si="23"/>
        <v>46.25</v>
      </c>
      <c r="F28" s="474">
        <f t="shared" si="23"/>
        <v>46.4</v>
      </c>
      <c r="G28" s="474">
        <f t="shared" si="23"/>
        <v>46.55</v>
      </c>
      <c r="H28" s="474">
        <f t="shared" si="23"/>
        <v>46.699999999999996</v>
      </c>
      <c r="I28" s="474">
        <f t="shared" si="23"/>
        <v>46.849999999999994</v>
      </c>
      <c r="J28" s="474">
        <f t="shared" si="23"/>
        <v>47</v>
      </c>
      <c r="K28" s="474">
        <f t="shared" si="23"/>
        <v>47.15</v>
      </c>
      <c r="L28" s="474">
        <f t="shared" si="23"/>
        <v>56.3</v>
      </c>
      <c r="M28" s="474">
        <f t="shared" si="23"/>
        <v>47.449999999999996</v>
      </c>
      <c r="N28" s="13"/>
      <c r="O28" s="13"/>
      <c r="P28" s="13"/>
    </row>
    <row r="29" spans="1:16" ht="12.75">
      <c r="A29" s="473">
        <v>22</v>
      </c>
      <c r="B29" s="474">
        <f t="shared" si="17"/>
        <v>47.6</v>
      </c>
      <c r="C29" s="474">
        <f aca="true" t="shared" si="24" ref="C29:M29">$B$29+0.15*C6</f>
        <v>47.75</v>
      </c>
      <c r="D29" s="474">
        <f t="shared" si="24"/>
        <v>47.9</v>
      </c>
      <c r="E29" s="474">
        <f t="shared" si="24"/>
        <v>48.050000000000004</v>
      </c>
      <c r="F29" s="474">
        <f t="shared" si="24"/>
        <v>48.2</v>
      </c>
      <c r="G29" s="474">
        <f t="shared" si="24"/>
        <v>48.35</v>
      </c>
      <c r="H29" s="474">
        <f t="shared" si="24"/>
        <v>48.5</v>
      </c>
      <c r="I29" s="474">
        <f t="shared" si="24"/>
        <v>48.65</v>
      </c>
      <c r="J29" s="474">
        <f t="shared" si="24"/>
        <v>48.800000000000004</v>
      </c>
      <c r="K29" s="474">
        <f t="shared" si="24"/>
        <v>48.95</v>
      </c>
      <c r="L29" s="474">
        <f t="shared" si="24"/>
        <v>58.1</v>
      </c>
      <c r="M29" s="474">
        <f t="shared" si="24"/>
        <v>49.25</v>
      </c>
      <c r="N29" s="13"/>
      <c r="O29" s="13"/>
      <c r="P29" s="13"/>
    </row>
    <row r="30" spans="1:16" ht="12.75">
      <c r="A30" s="473">
        <v>23</v>
      </c>
      <c r="B30" s="474">
        <f t="shared" si="17"/>
        <v>49.4</v>
      </c>
      <c r="C30" s="474">
        <f aca="true" t="shared" si="25" ref="C30:M30">$B$30+0.15*C6</f>
        <v>49.55</v>
      </c>
      <c r="D30" s="474">
        <f t="shared" si="25"/>
        <v>49.699999999999996</v>
      </c>
      <c r="E30" s="474">
        <f t="shared" si="25"/>
        <v>49.85</v>
      </c>
      <c r="F30" s="474">
        <f t="shared" si="25"/>
        <v>50</v>
      </c>
      <c r="G30" s="474">
        <f t="shared" si="25"/>
        <v>50.15</v>
      </c>
      <c r="H30" s="474">
        <f t="shared" si="25"/>
        <v>50.3</v>
      </c>
      <c r="I30" s="474">
        <f t="shared" si="25"/>
        <v>50.449999999999996</v>
      </c>
      <c r="J30" s="474">
        <f t="shared" si="25"/>
        <v>50.6</v>
      </c>
      <c r="K30" s="474">
        <f t="shared" si="25"/>
        <v>50.75</v>
      </c>
      <c r="L30" s="474">
        <f t="shared" si="25"/>
        <v>59.9</v>
      </c>
      <c r="M30" s="474">
        <f t="shared" si="25"/>
        <v>51.05</v>
      </c>
      <c r="N30" s="13"/>
      <c r="O30" s="13"/>
      <c r="P30" s="13"/>
    </row>
    <row r="31" spans="1:16" ht="12.75">
      <c r="A31" s="473">
        <v>24</v>
      </c>
      <c r="B31" s="474">
        <f t="shared" si="17"/>
        <v>51.2</v>
      </c>
      <c r="C31" s="474">
        <f aca="true" t="shared" si="26" ref="C31:M31">$B$31+0.15*C6</f>
        <v>51.35</v>
      </c>
      <c r="D31" s="474">
        <f t="shared" si="26"/>
        <v>51.5</v>
      </c>
      <c r="E31" s="474">
        <f t="shared" si="26"/>
        <v>51.650000000000006</v>
      </c>
      <c r="F31" s="474">
        <f t="shared" si="26"/>
        <v>51.800000000000004</v>
      </c>
      <c r="G31" s="474">
        <f t="shared" si="26"/>
        <v>51.95</v>
      </c>
      <c r="H31" s="474">
        <f t="shared" si="26"/>
        <v>52.1</v>
      </c>
      <c r="I31" s="474">
        <f t="shared" si="26"/>
        <v>52.25</v>
      </c>
      <c r="J31" s="474">
        <f t="shared" si="26"/>
        <v>52.400000000000006</v>
      </c>
      <c r="K31" s="474">
        <f t="shared" si="26"/>
        <v>52.550000000000004</v>
      </c>
      <c r="L31" s="474">
        <f t="shared" si="26"/>
        <v>61.7</v>
      </c>
      <c r="M31" s="474">
        <f t="shared" si="26"/>
        <v>52.85</v>
      </c>
      <c r="N31" s="13"/>
      <c r="O31" s="13"/>
      <c r="P31" s="13"/>
    </row>
    <row r="32" spans="1:16" ht="12.75">
      <c r="A32" s="473">
        <v>25</v>
      </c>
      <c r="B32" s="474">
        <f t="shared" si="17"/>
        <v>53</v>
      </c>
      <c r="C32" s="474">
        <f aca="true" t="shared" si="27" ref="C32:M32">$B$32+0.15*C6</f>
        <v>53.15</v>
      </c>
      <c r="D32" s="474">
        <f t="shared" si="27"/>
        <v>53.3</v>
      </c>
      <c r="E32" s="474">
        <f t="shared" si="27"/>
        <v>53.45</v>
      </c>
      <c r="F32" s="474">
        <f t="shared" si="27"/>
        <v>53.6</v>
      </c>
      <c r="G32" s="474">
        <f t="shared" si="27"/>
        <v>53.75</v>
      </c>
      <c r="H32" s="474">
        <f t="shared" si="27"/>
        <v>53.9</v>
      </c>
      <c r="I32" s="474">
        <f t="shared" si="27"/>
        <v>54.05</v>
      </c>
      <c r="J32" s="474">
        <f t="shared" si="27"/>
        <v>54.2</v>
      </c>
      <c r="K32" s="474">
        <f t="shared" si="27"/>
        <v>54.35</v>
      </c>
      <c r="L32" s="474">
        <f t="shared" si="27"/>
        <v>63.5</v>
      </c>
      <c r="M32" s="474">
        <f t="shared" si="27"/>
        <v>54.65</v>
      </c>
      <c r="N32" s="13"/>
      <c r="O32" s="13"/>
      <c r="P32" s="13"/>
    </row>
    <row r="33" spans="1:16" ht="12.75">
      <c r="A33" s="473">
        <v>26</v>
      </c>
      <c r="B33" s="474">
        <f t="shared" si="17"/>
        <v>54.8</v>
      </c>
      <c r="C33" s="474">
        <f aca="true" t="shared" si="28" ref="C33:M33">$B$33+0.15*C6</f>
        <v>54.949999999999996</v>
      </c>
      <c r="D33" s="474">
        <f t="shared" si="28"/>
        <v>55.099999999999994</v>
      </c>
      <c r="E33" s="474">
        <f t="shared" si="28"/>
        <v>55.25</v>
      </c>
      <c r="F33" s="474">
        <f t="shared" si="28"/>
        <v>55.4</v>
      </c>
      <c r="G33" s="474">
        <f t="shared" si="28"/>
        <v>55.55</v>
      </c>
      <c r="H33" s="474">
        <f t="shared" si="28"/>
        <v>55.699999999999996</v>
      </c>
      <c r="I33" s="474">
        <f t="shared" si="28"/>
        <v>55.849999999999994</v>
      </c>
      <c r="J33" s="474">
        <f t="shared" si="28"/>
        <v>56</v>
      </c>
      <c r="K33" s="474">
        <f t="shared" si="28"/>
        <v>56.15</v>
      </c>
      <c r="L33" s="474">
        <f t="shared" si="28"/>
        <v>65.3</v>
      </c>
      <c r="M33" s="474">
        <f t="shared" si="28"/>
        <v>56.449999999999996</v>
      </c>
      <c r="N33" s="13"/>
      <c r="O33" s="13"/>
      <c r="P33" s="13"/>
    </row>
    <row r="34" spans="1:16" ht="12.75">
      <c r="A34" s="473">
        <v>27</v>
      </c>
      <c r="B34" s="474">
        <f t="shared" si="17"/>
        <v>56.6</v>
      </c>
      <c r="C34" s="474">
        <f aca="true" t="shared" si="29" ref="C34:M34">$B$34+0.15*C6</f>
        <v>56.75</v>
      </c>
      <c r="D34" s="474">
        <f t="shared" si="29"/>
        <v>56.9</v>
      </c>
      <c r="E34" s="474">
        <f t="shared" si="29"/>
        <v>57.050000000000004</v>
      </c>
      <c r="F34" s="474">
        <f t="shared" si="29"/>
        <v>57.2</v>
      </c>
      <c r="G34" s="474">
        <f t="shared" si="29"/>
        <v>57.35</v>
      </c>
      <c r="H34" s="474">
        <f t="shared" si="29"/>
        <v>57.5</v>
      </c>
      <c r="I34" s="474">
        <f t="shared" si="29"/>
        <v>57.65</v>
      </c>
      <c r="J34" s="474">
        <f t="shared" si="29"/>
        <v>57.800000000000004</v>
      </c>
      <c r="K34" s="474">
        <f t="shared" si="29"/>
        <v>57.95</v>
      </c>
      <c r="L34" s="474">
        <f t="shared" si="29"/>
        <v>67.1</v>
      </c>
      <c r="M34" s="474">
        <f t="shared" si="29"/>
        <v>58.25</v>
      </c>
      <c r="N34" s="13"/>
      <c r="O34" s="13"/>
      <c r="P34" s="13"/>
    </row>
    <row r="35" spans="1:16" ht="12.75">
      <c r="A35" s="473">
        <v>28</v>
      </c>
      <c r="B35" s="474">
        <f t="shared" si="17"/>
        <v>58.400000000000006</v>
      </c>
      <c r="C35" s="474">
        <f aca="true" t="shared" si="30" ref="C35:M35">$B$35+0.15*C6</f>
        <v>58.550000000000004</v>
      </c>
      <c r="D35" s="474">
        <f t="shared" si="30"/>
        <v>58.7</v>
      </c>
      <c r="E35" s="474">
        <f t="shared" si="30"/>
        <v>58.85000000000001</v>
      </c>
      <c r="F35" s="474">
        <f t="shared" si="30"/>
        <v>59.00000000000001</v>
      </c>
      <c r="G35" s="474">
        <f t="shared" si="30"/>
        <v>59.150000000000006</v>
      </c>
      <c r="H35" s="474">
        <f t="shared" si="30"/>
        <v>59.300000000000004</v>
      </c>
      <c r="I35" s="474">
        <f t="shared" si="30"/>
        <v>59.45</v>
      </c>
      <c r="J35" s="474">
        <f t="shared" si="30"/>
        <v>59.60000000000001</v>
      </c>
      <c r="K35" s="474">
        <f t="shared" si="30"/>
        <v>59.75000000000001</v>
      </c>
      <c r="L35" s="474">
        <f t="shared" si="30"/>
        <v>68.9</v>
      </c>
      <c r="M35" s="474">
        <f t="shared" si="30"/>
        <v>60.050000000000004</v>
      </c>
      <c r="N35" s="13"/>
      <c r="O35" s="13"/>
      <c r="P35" s="13"/>
    </row>
    <row r="36" spans="1:16" ht="12.75">
      <c r="A36" s="473">
        <v>29</v>
      </c>
      <c r="B36" s="474">
        <f t="shared" si="17"/>
        <v>60.2</v>
      </c>
      <c r="C36" s="474">
        <f aca="true" t="shared" si="31" ref="C36:M36">$B$36+0.15*C6</f>
        <v>60.35</v>
      </c>
      <c r="D36" s="474">
        <f t="shared" si="31"/>
        <v>60.5</v>
      </c>
      <c r="E36" s="474">
        <f t="shared" si="31"/>
        <v>60.650000000000006</v>
      </c>
      <c r="F36" s="474">
        <f t="shared" si="31"/>
        <v>60.800000000000004</v>
      </c>
      <c r="G36" s="474">
        <f t="shared" si="31"/>
        <v>60.95</v>
      </c>
      <c r="H36" s="474">
        <f t="shared" si="31"/>
        <v>61.1</v>
      </c>
      <c r="I36" s="474">
        <f t="shared" si="31"/>
        <v>61.25</v>
      </c>
      <c r="J36" s="474">
        <f t="shared" si="31"/>
        <v>61.400000000000006</v>
      </c>
      <c r="K36" s="474">
        <f t="shared" si="31"/>
        <v>61.550000000000004</v>
      </c>
      <c r="L36" s="474">
        <f t="shared" si="31"/>
        <v>70.7</v>
      </c>
      <c r="M36" s="474">
        <f t="shared" si="31"/>
        <v>61.85</v>
      </c>
      <c r="N36" s="13"/>
      <c r="O36" s="13"/>
      <c r="P36" s="13"/>
    </row>
    <row r="37" spans="1:16" ht="12.75">
      <c r="A37" s="473">
        <v>30</v>
      </c>
      <c r="B37" s="474">
        <f t="shared" si="17"/>
        <v>62</v>
      </c>
      <c r="C37" s="474">
        <f aca="true" t="shared" si="32" ref="C37:M37">$B$37+0.15*C6</f>
        <v>62.15</v>
      </c>
      <c r="D37" s="474">
        <f t="shared" si="32"/>
        <v>62.3</v>
      </c>
      <c r="E37" s="474">
        <f t="shared" si="32"/>
        <v>62.45</v>
      </c>
      <c r="F37" s="474">
        <f t="shared" si="32"/>
        <v>62.6</v>
      </c>
      <c r="G37" s="474">
        <f t="shared" si="32"/>
        <v>62.75</v>
      </c>
      <c r="H37" s="474">
        <f t="shared" si="32"/>
        <v>62.9</v>
      </c>
      <c r="I37" s="474">
        <f t="shared" si="32"/>
        <v>63.05</v>
      </c>
      <c r="J37" s="474">
        <f t="shared" si="32"/>
        <v>63.2</v>
      </c>
      <c r="K37" s="474">
        <f t="shared" si="32"/>
        <v>63.35</v>
      </c>
      <c r="L37" s="474">
        <f t="shared" si="32"/>
        <v>72.5</v>
      </c>
      <c r="M37" s="474">
        <f t="shared" si="32"/>
        <v>63.65</v>
      </c>
      <c r="N37" s="13"/>
      <c r="O37" s="13"/>
      <c r="P37" s="13"/>
    </row>
    <row r="38" spans="1:16" ht="12.75">
      <c r="A38" s="473">
        <v>31</v>
      </c>
      <c r="B38" s="474">
        <f t="shared" si="17"/>
        <v>63.8</v>
      </c>
      <c r="C38" s="474">
        <f aca="true" t="shared" si="33" ref="C38:M38">$B$38+0.15*C6</f>
        <v>63.949999999999996</v>
      </c>
      <c r="D38" s="474">
        <f t="shared" si="33"/>
        <v>64.1</v>
      </c>
      <c r="E38" s="474">
        <f t="shared" si="33"/>
        <v>64.25</v>
      </c>
      <c r="F38" s="474">
        <f t="shared" si="33"/>
        <v>64.39999999999999</v>
      </c>
      <c r="G38" s="474">
        <f t="shared" si="33"/>
        <v>64.55</v>
      </c>
      <c r="H38" s="474">
        <f t="shared" si="33"/>
        <v>64.7</v>
      </c>
      <c r="I38" s="474">
        <f t="shared" si="33"/>
        <v>64.85</v>
      </c>
      <c r="J38" s="474">
        <f t="shared" si="33"/>
        <v>65</v>
      </c>
      <c r="K38" s="474">
        <f t="shared" si="33"/>
        <v>65.14999999999999</v>
      </c>
      <c r="L38" s="474">
        <f t="shared" si="33"/>
        <v>74.3</v>
      </c>
      <c r="M38" s="474">
        <f t="shared" si="33"/>
        <v>65.45</v>
      </c>
      <c r="N38" s="13"/>
      <c r="O38" s="13"/>
      <c r="P38" s="13"/>
    </row>
    <row r="39" spans="1:16" ht="12.75">
      <c r="A39" s="473">
        <v>32</v>
      </c>
      <c r="B39" s="474">
        <f t="shared" si="17"/>
        <v>65.6</v>
      </c>
      <c r="C39" s="474">
        <f aca="true" t="shared" si="34" ref="C39:M39">$B$39+0.15*C6</f>
        <v>65.75</v>
      </c>
      <c r="D39" s="474">
        <f t="shared" si="34"/>
        <v>65.89999999999999</v>
      </c>
      <c r="E39" s="474">
        <f t="shared" si="34"/>
        <v>66.05</v>
      </c>
      <c r="F39" s="474">
        <f t="shared" si="34"/>
        <v>66.19999999999999</v>
      </c>
      <c r="G39" s="474">
        <f t="shared" si="34"/>
        <v>66.35</v>
      </c>
      <c r="H39" s="474">
        <f t="shared" si="34"/>
        <v>66.5</v>
      </c>
      <c r="I39" s="474">
        <f t="shared" si="34"/>
        <v>66.64999999999999</v>
      </c>
      <c r="J39" s="474">
        <f t="shared" si="34"/>
        <v>66.8</v>
      </c>
      <c r="K39" s="474">
        <f t="shared" si="34"/>
        <v>66.94999999999999</v>
      </c>
      <c r="L39" s="474">
        <f t="shared" si="34"/>
        <v>76.1</v>
      </c>
      <c r="M39" s="474">
        <f t="shared" si="34"/>
        <v>67.25</v>
      </c>
      <c r="N39" s="13"/>
      <c r="O39" s="13"/>
      <c r="P39" s="13"/>
    </row>
    <row r="40" spans="1:16" ht="12.75">
      <c r="A40" s="473">
        <v>33</v>
      </c>
      <c r="B40" s="474">
        <f t="shared" si="17"/>
        <v>67.4</v>
      </c>
      <c r="C40" s="474">
        <f aca="true" t="shared" si="35" ref="C40:M40">$B$40+0.15*C6</f>
        <v>67.55000000000001</v>
      </c>
      <c r="D40" s="474">
        <f t="shared" si="35"/>
        <v>67.7</v>
      </c>
      <c r="E40" s="474">
        <f t="shared" si="35"/>
        <v>67.85000000000001</v>
      </c>
      <c r="F40" s="474">
        <f t="shared" si="35"/>
        <v>68</v>
      </c>
      <c r="G40" s="474">
        <f t="shared" si="35"/>
        <v>68.15</v>
      </c>
      <c r="H40" s="474">
        <f t="shared" si="35"/>
        <v>68.30000000000001</v>
      </c>
      <c r="I40" s="474">
        <f t="shared" si="35"/>
        <v>68.45</v>
      </c>
      <c r="J40" s="474">
        <f t="shared" si="35"/>
        <v>68.60000000000001</v>
      </c>
      <c r="K40" s="474">
        <f t="shared" si="35"/>
        <v>68.75</v>
      </c>
      <c r="L40" s="474">
        <f t="shared" si="35"/>
        <v>77.9</v>
      </c>
      <c r="M40" s="474">
        <f t="shared" si="35"/>
        <v>69.05000000000001</v>
      </c>
      <c r="N40" s="13"/>
      <c r="O40" s="13"/>
      <c r="P40" s="13"/>
    </row>
    <row r="41" spans="1:16" ht="12.75">
      <c r="A41" s="473">
        <v>34</v>
      </c>
      <c r="B41" s="474">
        <f t="shared" si="17"/>
        <v>69.2</v>
      </c>
      <c r="C41" s="474">
        <f aca="true" t="shared" si="36" ref="C41:M41">$B$41+0.15*C6</f>
        <v>69.35000000000001</v>
      </c>
      <c r="D41" s="474">
        <f t="shared" si="36"/>
        <v>69.5</v>
      </c>
      <c r="E41" s="474">
        <f t="shared" si="36"/>
        <v>69.65</v>
      </c>
      <c r="F41" s="474">
        <f t="shared" si="36"/>
        <v>69.8</v>
      </c>
      <c r="G41" s="474">
        <f t="shared" si="36"/>
        <v>69.95</v>
      </c>
      <c r="H41" s="474">
        <f t="shared" si="36"/>
        <v>70.10000000000001</v>
      </c>
      <c r="I41" s="474">
        <f t="shared" si="36"/>
        <v>70.25</v>
      </c>
      <c r="J41" s="474">
        <f t="shared" si="36"/>
        <v>70.4</v>
      </c>
      <c r="K41" s="474">
        <f t="shared" si="36"/>
        <v>70.55</v>
      </c>
      <c r="L41" s="474">
        <f t="shared" si="36"/>
        <v>79.7</v>
      </c>
      <c r="M41" s="474">
        <f t="shared" si="36"/>
        <v>70.85000000000001</v>
      </c>
      <c r="N41" s="13"/>
      <c r="O41" s="13"/>
      <c r="P41" s="13"/>
    </row>
    <row r="42" spans="1:16" ht="12.75">
      <c r="A42" s="473">
        <v>35</v>
      </c>
      <c r="B42" s="474">
        <f t="shared" si="17"/>
        <v>71</v>
      </c>
      <c r="C42" s="474">
        <f aca="true" t="shared" si="37" ref="C42:M42">$B$42+0.15*C6</f>
        <v>71.15</v>
      </c>
      <c r="D42" s="474">
        <f t="shared" si="37"/>
        <v>71.3</v>
      </c>
      <c r="E42" s="474">
        <f t="shared" si="37"/>
        <v>71.45</v>
      </c>
      <c r="F42" s="474">
        <f t="shared" si="37"/>
        <v>71.6</v>
      </c>
      <c r="G42" s="474">
        <f t="shared" si="37"/>
        <v>71.75</v>
      </c>
      <c r="H42" s="474">
        <f t="shared" si="37"/>
        <v>71.9</v>
      </c>
      <c r="I42" s="474">
        <f t="shared" si="37"/>
        <v>72.05</v>
      </c>
      <c r="J42" s="474">
        <f t="shared" si="37"/>
        <v>72.2</v>
      </c>
      <c r="K42" s="474">
        <f t="shared" si="37"/>
        <v>72.35</v>
      </c>
      <c r="L42" s="474">
        <f t="shared" si="37"/>
        <v>81.5</v>
      </c>
      <c r="M42" s="474">
        <f t="shared" si="37"/>
        <v>72.65</v>
      </c>
      <c r="N42" s="13"/>
      <c r="O42" s="13"/>
      <c r="P42" s="13"/>
    </row>
    <row r="43" spans="1:16" ht="12.75">
      <c r="A43" s="473">
        <v>36</v>
      </c>
      <c r="B43" s="474">
        <f t="shared" si="17"/>
        <v>72.80000000000001</v>
      </c>
      <c r="C43" s="474">
        <f aca="true" t="shared" si="38" ref="C43:M43">$B$43+0.15*C6</f>
        <v>72.95000000000002</v>
      </c>
      <c r="D43" s="474">
        <f t="shared" si="38"/>
        <v>73.10000000000001</v>
      </c>
      <c r="E43" s="474">
        <f t="shared" si="38"/>
        <v>73.25000000000001</v>
      </c>
      <c r="F43" s="474">
        <f t="shared" si="38"/>
        <v>73.4</v>
      </c>
      <c r="G43" s="474">
        <f t="shared" si="38"/>
        <v>73.55000000000001</v>
      </c>
      <c r="H43" s="474">
        <f t="shared" si="38"/>
        <v>73.70000000000002</v>
      </c>
      <c r="I43" s="474">
        <f t="shared" si="38"/>
        <v>73.85000000000001</v>
      </c>
      <c r="J43" s="474">
        <f t="shared" si="38"/>
        <v>74.00000000000001</v>
      </c>
      <c r="K43" s="474">
        <f t="shared" si="38"/>
        <v>74.15</v>
      </c>
      <c r="L43" s="474">
        <f t="shared" si="38"/>
        <v>83.30000000000001</v>
      </c>
      <c r="M43" s="474">
        <f t="shared" si="38"/>
        <v>74.45000000000002</v>
      </c>
      <c r="N43" s="13"/>
      <c r="O43" s="13"/>
      <c r="P43" s="13"/>
    </row>
    <row r="44" spans="1:16" ht="12.75">
      <c r="A44" s="473">
        <v>37</v>
      </c>
      <c r="B44" s="474">
        <f t="shared" si="17"/>
        <v>74.6</v>
      </c>
      <c r="C44" s="474">
        <f aca="true" t="shared" si="39" ref="C44:M44">$B$44+0.15*C6</f>
        <v>74.75</v>
      </c>
      <c r="D44" s="474">
        <f t="shared" si="39"/>
        <v>74.89999999999999</v>
      </c>
      <c r="E44" s="474">
        <f t="shared" si="39"/>
        <v>75.05</v>
      </c>
      <c r="F44" s="474">
        <f t="shared" si="39"/>
        <v>75.19999999999999</v>
      </c>
      <c r="G44" s="474">
        <f t="shared" si="39"/>
        <v>75.35</v>
      </c>
      <c r="H44" s="474">
        <f t="shared" si="39"/>
        <v>75.5</v>
      </c>
      <c r="I44" s="474">
        <f t="shared" si="39"/>
        <v>75.64999999999999</v>
      </c>
      <c r="J44" s="474">
        <f t="shared" si="39"/>
        <v>75.8</v>
      </c>
      <c r="K44" s="474">
        <f t="shared" si="39"/>
        <v>75.94999999999999</v>
      </c>
      <c r="L44" s="474">
        <f t="shared" si="39"/>
        <v>85.1</v>
      </c>
      <c r="M44" s="474">
        <f t="shared" si="39"/>
        <v>76.25</v>
      </c>
      <c r="N44" s="13"/>
      <c r="O44" s="13"/>
      <c r="P44" s="13"/>
    </row>
    <row r="45" spans="1:16" ht="12.75">
      <c r="A45" s="473">
        <v>38</v>
      </c>
      <c r="B45" s="474">
        <f t="shared" si="17"/>
        <v>76.4</v>
      </c>
      <c r="C45" s="474">
        <f aca="true" t="shared" si="40" ref="C45:M45">$B$45+0.15*C6</f>
        <v>76.55000000000001</v>
      </c>
      <c r="D45" s="474">
        <f t="shared" si="40"/>
        <v>76.7</v>
      </c>
      <c r="E45" s="474">
        <f t="shared" si="40"/>
        <v>76.85000000000001</v>
      </c>
      <c r="F45" s="474">
        <f t="shared" si="40"/>
        <v>77</v>
      </c>
      <c r="G45" s="474">
        <f t="shared" si="40"/>
        <v>77.15</v>
      </c>
      <c r="H45" s="474">
        <f t="shared" si="40"/>
        <v>77.30000000000001</v>
      </c>
      <c r="I45" s="474">
        <f t="shared" si="40"/>
        <v>77.45</v>
      </c>
      <c r="J45" s="474">
        <f t="shared" si="40"/>
        <v>77.60000000000001</v>
      </c>
      <c r="K45" s="474">
        <f t="shared" si="40"/>
        <v>77.75</v>
      </c>
      <c r="L45" s="474">
        <f t="shared" si="40"/>
        <v>86.9</v>
      </c>
      <c r="M45" s="474">
        <f t="shared" si="40"/>
        <v>78.05000000000001</v>
      </c>
      <c r="N45" s="13"/>
      <c r="O45" s="13"/>
      <c r="P45" s="13"/>
    </row>
    <row r="46" spans="1:16" ht="12.75">
      <c r="A46" s="473">
        <v>39</v>
      </c>
      <c r="B46" s="474">
        <f t="shared" si="17"/>
        <v>78.2</v>
      </c>
      <c r="C46" s="474">
        <f aca="true" t="shared" si="41" ref="C46:M46">$B$46+0.15*C6</f>
        <v>78.35000000000001</v>
      </c>
      <c r="D46" s="474">
        <f t="shared" si="41"/>
        <v>78.5</v>
      </c>
      <c r="E46" s="474">
        <f t="shared" si="41"/>
        <v>78.65</v>
      </c>
      <c r="F46" s="474">
        <f t="shared" si="41"/>
        <v>78.8</v>
      </c>
      <c r="G46" s="474">
        <f t="shared" si="41"/>
        <v>78.95</v>
      </c>
      <c r="H46" s="474">
        <f t="shared" si="41"/>
        <v>79.10000000000001</v>
      </c>
      <c r="I46" s="474">
        <f t="shared" si="41"/>
        <v>79.25</v>
      </c>
      <c r="J46" s="474">
        <f t="shared" si="41"/>
        <v>79.4</v>
      </c>
      <c r="K46" s="474">
        <f t="shared" si="41"/>
        <v>79.55</v>
      </c>
      <c r="L46" s="474">
        <f t="shared" si="41"/>
        <v>88.7</v>
      </c>
      <c r="M46" s="474">
        <f t="shared" si="41"/>
        <v>79.85000000000001</v>
      </c>
      <c r="N46" s="13"/>
      <c r="O46" s="13"/>
      <c r="P46" s="13"/>
    </row>
    <row r="47" spans="1:16" ht="12.75">
      <c r="A47" s="473">
        <v>40</v>
      </c>
      <c r="B47" s="474">
        <f t="shared" si="17"/>
        <v>80</v>
      </c>
      <c r="C47" s="474">
        <v>80</v>
      </c>
      <c r="D47" s="474">
        <v>80</v>
      </c>
      <c r="E47" s="474">
        <v>80</v>
      </c>
      <c r="F47" s="474">
        <v>80</v>
      </c>
      <c r="G47" s="474">
        <v>80</v>
      </c>
      <c r="H47" s="474">
        <v>80</v>
      </c>
      <c r="I47" s="474">
        <v>80</v>
      </c>
      <c r="J47" s="474">
        <v>80</v>
      </c>
      <c r="K47" s="474">
        <v>80</v>
      </c>
      <c r="L47" s="474">
        <v>80</v>
      </c>
      <c r="M47" s="474">
        <v>80</v>
      </c>
      <c r="N47" s="13"/>
      <c r="O47" s="13"/>
      <c r="P47" s="13"/>
    </row>
    <row r="48" spans="1:16" ht="12">
      <c r="A48" s="13"/>
      <c r="B48" s="13"/>
      <c r="C48" s="13"/>
      <c r="D48" s="13"/>
      <c r="E48" s="13"/>
      <c r="F48" s="13"/>
      <c r="G48" s="13"/>
      <c r="H48" s="13"/>
      <c r="I48" s="13"/>
      <c r="J48" s="13"/>
      <c r="K48" s="13"/>
      <c r="L48" s="13"/>
      <c r="M48" s="13"/>
      <c r="N48" s="13"/>
      <c r="O48" s="13"/>
      <c r="P48" s="13"/>
    </row>
    <row r="49" spans="1:16" ht="12">
      <c r="A49" s="13"/>
      <c r="B49" s="13"/>
      <c r="C49" s="13"/>
      <c r="D49" s="13"/>
      <c r="E49" s="13"/>
      <c r="F49" s="13"/>
      <c r="G49" s="13"/>
      <c r="H49" s="13"/>
      <c r="I49" s="13"/>
      <c r="J49" s="13"/>
      <c r="K49" s="13"/>
      <c r="L49" s="13"/>
      <c r="M49" s="13"/>
      <c r="N49" s="13"/>
      <c r="O49" s="13"/>
      <c r="P49" s="13"/>
    </row>
    <row r="50" spans="1:16" ht="12">
      <c r="A50" s="13"/>
      <c r="B50" s="13"/>
      <c r="C50" s="13"/>
      <c r="D50" s="13"/>
      <c r="E50" s="13"/>
      <c r="F50" s="13"/>
      <c r="G50" s="13"/>
      <c r="H50" s="13"/>
      <c r="I50" s="13"/>
      <c r="J50" s="13"/>
      <c r="K50" s="13"/>
      <c r="L50" s="13"/>
      <c r="M50" s="13"/>
      <c r="N50" s="13"/>
      <c r="O50" s="13"/>
      <c r="P50" s="13"/>
    </row>
    <row r="51" spans="1:16" ht="12">
      <c r="A51" s="13"/>
      <c r="B51" s="13"/>
      <c r="C51" s="13"/>
      <c r="D51" s="13"/>
      <c r="E51" s="13"/>
      <c r="F51" s="13"/>
      <c r="G51" s="13"/>
      <c r="H51" s="13"/>
      <c r="I51" s="13"/>
      <c r="J51" s="13"/>
      <c r="K51" s="13"/>
      <c r="L51" s="13"/>
      <c r="M51" s="13"/>
      <c r="N51" s="13"/>
      <c r="O51" s="13"/>
      <c r="P51" s="13"/>
    </row>
    <row r="52" spans="1:16" ht="12">
      <c r="A52" s="13"/>
      <c r="B52" s="13"/>
      <c r="C52" s="13"/>
      <c r="D52" s="13"/>
      <c r="E52" s="13"/>
      <c r="F52" s="13"/>
      <c r="G52" s="13"/>
      <c r="H52" s="13"/>
      <c r="I52" s="13"/>
      <c r="J52" s="13"/>
      <c r="K52" s="13"/>
      <c r="L52" s="13"/>
      <c r="M52" s="13"/>
      <c r="N52" s="13"/>
      <c r="O52" s="13"/>
      <c r="P52" s="13"/>
    </row>
    <row r="53" spans="1:16" ht="12">
      <c r="A53" s="13"/>
      <c r="B53" s="13"/>
      <c r="C53" s="13"/>
      <c r="D53" s="13"/>
      <c r="E53" s="13"/>
      <c r="F53" s="13"/>
      <c r="G53" s="13"/>
      <c r="H53" s="13"/>
      <c r="I53" s="13"/>
      <c r="J53" s="13"/>
      <c r="K53" s="13"/>
      <c r="L53" s="13"/>
      <c r="M53" s="13"/>
      <c r="N53" s="13"/>
      <c r="O53" s="13"/>
      <c r="P53" s="13"/>
    </row>
    <row r="54" spans="1:16" ht="12">
      <c r="A54" s="13"/>
      <c r="B54" s="13"/>
      <c r="C54" s="13"/>
      <c r="D54" s="13"/>
      <c r="E54" s="13"/>
      <c r="F54" s="13"/>
      <c r="G54" s="13"/>
      <c r="H54" s="13"/>
      <c r="I54" s="13"/>
      <c r="J54" s="13"/>
      <c r="K54" s="13"/>
      <c r="L54" s="13"/>
      <c r="M54" s="13"/>
      <c r="N54" s="13"/>
      <c r="O54" s="13"/>
      <c r="P54" s="13"/>
    </row>
    <row r="55" spans="1:16" ht="12">
      <c r="A55" s="13"/>
      <c r="B55" s="13"/>
      <c r="C55" s="13"/>
      <c r="D55" s="13"/>
      <c r="E55" s="13"/>
      <c r="F55" s="13"/>
      <c r="G55" s="13"/>
      <c r="H55" s="13"/>
      <c r="I55" s="13"/>
      <c r="J55" s="13"/>
      <c r="K55" s="13"/>
      <c r="L55" s="13"/>
      <c r="M55" s="13"/>
      <c r="N55" s="13"/>
      <c r="O55" s="13"/>
      <c r="P55" s="13"/>
    </row>
    <row r="56" spans="1:16" ht="12">
      <c r="A56" s="13"/>
      <c r="B56" s="13"/>
      <c r="C56" s="13"/>
      <c r="D56" s="13"/>
      <c r="E56" s="13"/>
      <c r="F56" s="13"/>
      <c r="G56" s="13"/>
      <c r="H56" s="13"/>
      <c r="I56" s="13"/>
      <c r="J56" s="13"/>
      <c r="K56" s="13"/>
      <c r="L56" s="13"/>
      <c r="M56" s="13"/>
      <c r="N56" s="13"/>
      <c r="O56" s="13"/>
      <c r="P56" s="13"/>
    </row>
    <row r="57" spans="1:16" ht="12">
      <c r="A57" s="13"/>
      <c r="B57" s="13"/>
      <c r="C57" s="13"/>
      <c r="D57" s="13"/>
      <c r="E57" s="13"/>
      <c r="F57" s="13"/>
      <c r="G57" s="13"/>
      <c r="H57" s="13"/>
      <c r="I57" s="13"/>
      <c r="J57" s="13"/>
      <c r="K57" s="13"/>
      <c r="L57" s="13"/>
      <c r="M57" s="13"/>
      <c r="N57" s="13"/>
      <c r="O57" s="13"/>
      <c r="P57" s="13"/>
    </row>
    <row r="58" spans="1:16" ht="12">
      <c r="A58" s="13"/>
      <c r="B58" s="13"/>
      <c r="C58" s="13"/>
      <c r="D58" s="13"/>
      <c r="E58" s="13"/>
      <c r="F58" s="13"/>
      <c r="G58" s="13"/>
      <c r="H58" s="13"/>
      <c r="I58" s="13"/>
      <c r="J58" s="13"/>
      <c r="K58" s="13"/>
      <c r="L58" s="13"/>
      <c r="M58" s="13"/>
      <c r="N58" s="13"/>
      <c r="O58" s="13"/>
      <c r="P58" s="13"/>
    </row>
    <row r="59" spans="1:16" ht="12">
      <c r="A59" s="13"/>
      <c r="B59" s="13"/>
      <c r="C59" s="13"/>
      <c r="D59" s="13"/>
      <c r="E59" s="13"/>
      <c r="F59" s="13"/>
      <c r="G59" s="13"/>
      <c r="H59" s="13"/>
      <c r="I59" s="13"/>
      <c r="J59" s="13"/>
      <c r="K59" s="13"/>
      <c r="L59" s="13"/>
      <c r="M59" s="13"/>
      <c r="N59" s="13"/>
      <c r="O59" s="13"/>
      <c r="P59" s="13"/>
    </row>
    <row r="60" spans="1:16" ht="12">
      <c r="A60" s="13"/>
      <c r="B60" s="13"/>
      <c r="C60" s="13"/>
      <c r="D60" s="13"/>
      <c r="E60" s="13"/>
      <c r="F60" s="13"/>
      <c r="G60" s="13"/>
      <c r="H60" s="13"/>
      <c r="I60" s="13"/>
      <c r="J60" s="13"/>
      <c r="K60" s="13"/>
      <c r="L60" s="13"/>
      <c r="M60" s="13"/>
      <c r="N60" s="13"/>
      <c r="O60" s="13"/>
      <c r="P60" s="13"/>
    </row>
    <row r="61" spans="1:16" ht="12">
      <c r="A61" s="13"/>
      <c r="B61" s="13"/>
      <c r="C61" s="13"/>
      <c r="D61" s="13"/>
      <c r="E61" s="13"/>
      <c r="F61" s="13"/>
      <c r="G61" s="13"/>
      <c r="H61" s="13"/>
      <c r="I61" s="13"/>
      <c r="J61" s="13"/>
      <c r="K61" s="13"/>
      <c r="L61" s="13"/>
      <c r="M61" s="13"/>
      <c r="N61" s="13"/>
      <c r="O61" s="13"/>
      <c r="P61" s="13"/>
    </row>
    <row r="62" spans="1:16" ht="12">
      <c r="A62" s="13"/>
      <c r="B62" s="13"/>
      <c r="C62" s="13"/>
      <c r="D62" s="13"/>
      <c r="E62" s="13"/>
      <c r="F62" s="13"/>
      <c r="G62" s="13"/>
      <c r="H62" s="13"/>
      <c r="I62" s="13"/>
      <c r="J62" s="13"/>
      <c r="K62" s="13"/>
      <c r="L62" s="13"/>
      <c r="M62" s="13"/>
      <c r="N62" s="13"/>
      <c r="O62" s="13"/>
      <c r="P62" s="13"/>
    </row>
    <row r="63" spans="1:16" ht="12">
      <c r="A63" s="13"/>
      <c r="B63" s="13"/>
      <c r="C63" s="13"/>
      <c r="D63" s="13"/>
      <c r="E63" s="13"/>
      <c r="F63" s="13"/>
      <c r="G63" s="13"/>
      <c r="H63" s="13"/>
      <c r="I63" s="13"/>
      <c r="J63" s="13"/>
      <c r="K63" s="13"/>
      <c r="L63" s="13"/>
      <c r="M63" s="13"/>
      <c r="N63" s="13"/>
      <c r="O63" s="13"/>
      <c r="P63" s="13"/>
    </row>
    <row r="64" spans="1:16" ht="12">
      <c r="A64" s="13"/>
      <c r="B64" s="13"/>
      <c r="C64" s="13"/>
      <c r="D64" s="13"/>
      <c r="E64" s="13"/>
      <c r="F64" s="13"/>
      <c r="G64" s="13"/>
      <c r="H64" s="13"/>
      <c r="I64" s="13"/>
      <c r="J64" s="13"/>
      <c r="K64" s="13"/>
      <c r="L64" s="13"/>
      <c r="M64" s="13"/>
      <c r="N64" s="13"/>
      <c r="O64" s="13"/>
      <c r="P64" s="13"/>
    </row>
    <row r="65" spans="1:16" ht="12">
      <c r="A65" s="13"/>
      <c r="B65" s="13"/>
      <c r="C65" s="13"/>
      <c r="D65" s="13"/>
      <c r="E65" s="13"/>
      <c r="F65" s="13"/>
      <c r="G65" s="13"/>
      <c r="H65" s="13"/>
      <c r="I65" s="13"/>
      <c r="J65" s="13"/>
      <c r="K65" s="13"/>
      <c r="L65" s="13"/>
      <c r="M65" s="13"/>
      <c r="N65" s="13"/>
      <c r="O65" s="13"/>
      <c r="P65" s="13"/>
    </row>
    <row r="66" spans="1:16" ht="12">
      <c r="A66" s="13"/>
      <c r="B66" s="13"/>
      <c r="C66" s="13"/>
      <c r="D66" s="13"/>
      <c r="E66" s="13"/>
      <c r="F66" s="13"/>
      <c r="G66" s="13"/>
      <c r="H66" s="13"/>
      <c r="I66" s="13"/>
      <c r="J66" s="13"/>
      <c r="K66" s="13"/>
      <c r="L66" s="13"/>
      <c r="M66" s="13"/>
      <c r="N66" s="13"/>
      <c r="O66" s="13"/>
      <c r="P66" s="13"/>
    </row>
    <row r="67" spans="1:16" ht="12">
      <c r="A67" s="13"/>
      <c r="B67" s="13"/>
      <c r="C67" s="13"/>
      <c r="D67" s="13"/>
      <c r="E67" s="13"/>
      <c r="F67" s="13"/>
      <c r="G67" s="13"/>
      <c r="H67" s="13"/>
      <c r="I67" s="13"/>
      <c r="J67" s="13"/>
      <c r="K67" s="13"/>
      <c r="L67" s="13"/>
      <c r="M67" s="13"/>
      <c r="N67" s="13"/>
      <c r="O67" s="13"/>
      <c r="P67" s="13"/>
    </row>
    <row r="68" spans="1:16" ht="12">
      <c r="A68" s="13"/>
      <c r="B68" s="13"/>
      <c r="C68" s="13"/>
      <c r="D68" s="13"/>
      <c r="E68" s="13"/>
      <c r="F68" s="13"/>
      <c r="G68" s="13"/>
      <c r="H68" s="13"/>
      <c r="I68" s="13"/>
      <c r="J68" s="13"/>
      <c r="K68" s="13"/>
      <c r="L68" s="13"/>
      <c r="M68" s="13"/>
      <c r="N68" s="13"/>
      <c r="O68" s="13"/>
      <c r="P68" s="13"/>
    </row>
    <row r="69" spans="1:16" ht="12">
      <c r="A69" s="13"/>
      <c r="B69" s="13"/>
      <c r="C69" s="13"/>
      <c r="D69" s="13"/>
      <c r="E69" s="13"/>
      <c r="F69" s="13"/>
      <c r="G69" s="13"/>
      <c r="H69" s="13"/>
      <c r="I69" s="13"/>
      <c r="J69" s="13"/>
      <c r="K69" s="13"/>
      <c r="L69" s="13"/>
      <c r="M69" s="13"/>
      <c r="N69" s="13"/>
      <c r="O69" s="13"/>
      <c r="P69" s="13"/>
    </row>
    <row r="70" spans="1:16" ht="12">
      <c r="A70" s="13"/>
      <c r="B70" s="13"/>
      <c r="C70" s="13"/>
      <c r="D70" s="13"/>
      <c r="E70" s="13"/>
      <c r="F70" s="13"/>
      <c r="G70" s="13"/>
      <c r="H70" s="13"/>
      <c r="I70" s="13"/>
      <c r="J70" s="13"/>
      <c r="K70" s="13"/>
      <c r="L70" s="13"/>
      <c r="M70" s="13"/>
      <c r="N70" s="13"/>
      <c r="O70" s="13"/>
      <c r="P70" s="13"/>
    </row>
    <row r="71" spans="1:16" ht="12">
      <c r="A71" s="13"/>
      <c r="B71" s="13"/>
      <c r="C71" s="13"/>
      <c r="D71" s="13"/>
      <c r="E71" s="13"/>
      <c r="F71" s="13"/>
      <c r="G71" s="13"/>
      <c r="H71" s="13"/>
      <c r="I71" s="13"/>
      <c r="J71" s="13"/>
      <c r="K71" s="13"/>
      <c r="L71" s="13"/>
      <c r="M71" s="13"/>
      <c r="N71" s="13"/>
      <c r="O71" s="13"/>
      <c r="P71" s="13"/>
    </row>
    <row r="72" spans="1:16" ht="12">
      <c r="A72" s="13"/>
      <c r="B72" s="13"/>
      <c r="C72" s="13"/>
      <c r="D72" s="13"/>
      <c r="E72" s="13"/>
      <c r="F72" s="13"/>
      <c r="G72" s="13"/>
      <c r="H72" s="13"/>
      <c r="I72" s="13"/>
      <c r="J72" s="13"/>
      <c r="K72" s="13"/>
      <c r="L72" s="13"/>
      <c r="M72" s="13"/>
      <c r="N72" s="13"/>
      <c r="O72" s="13"/>
      <c r="P72" s="13"/>
    </row>
    <row r="73" spans="1:16" ht="12">
      <c r="A73" s="13"/>
      <c r="B73" s="13"/>
      <c r="C73" s="13"/>
      <c r="D73" s="13"/>
      <c r="E73" s="13"/>
      <c r="F73" s="13"/>
      <c r="G73" s="13"/>
      <c r="H73" s="13"/>
      <c r="I73" s="13"/>
      <c r="J73" s="13"/>
      <c r="K73" s="13"/>
      <c r="L73" s="13"/>
      <c r="M73" s="13"/>
      <c r="N73" s="13"/>
      <c r="O73" s="13"/>
      <c r="P73" s="13"/>
    </row>
    <row r="74" spans="1:16" ht="12">
      <c r="A74" s="13"/>
      <c r="B74" s="13"/>
      <c r="C74" s="13"/>
      <c r="D74" s="13"/>
      <c r="E74" s="13"/>
      <c r="F74" s="13"/>
      <c r="G74" s="13"/>
      <c r="H74" s="13"/>
      <c r="I74" s="13"/>
      <c r="J74" s="13"/>
      <c r="K74" s="13"/>
      <c r="L74" s="13"/>
      <c r="M74" s="13"/>
      <c r="N74" s="13"/>
      <c r="O74" s="13"/>
      <c r="P74" s="13"/>
    </row>
    <row r="75" spans="1:16" ht="12">
      <c r="A75" s="13"/>
      <c r="B75" s="13"/>
      <c r="C75" s="13"/>
      <c r="D75" s="13"/>
      <c r="E75" s="13"/>
      <c r="F75" s="13"/>
      <c r="G75" s="13"/>
      <c r="H75" s="13"/>
      <c r="I75" s="13"/>
      <c r="J75" s="13"/>
      <c r="K75" s="13"/>
      <c r="L75" s="13"/>
      <c r="M75" s="13"/>
      <c r="N75" s="13"/>
      <c r="O75" s="13"/>
      <c r="P75" s="13"/>
    </row>
    <row r="76" spans="1:16" ht="12">
      <c r="A76" s="13"/>
      <c r="B76" s="13"/>
      <c r="C76" s="13"/>
      <c r="D76" s="13"/>
      <c r="E76" s="13"/>
      <c r="F76" s="13"/>
      <c r="G76" s="13"/>
      <c r="H76" s="13"/>
      <c r="I76" s="13"/>
      <c r="J76" s="13"/>
      <c r="K76" s="13"/>
      <c r="L76" s="13"/>
      <c r="M76" s="13"/>
      <c r="N76" s="13"/>
      <c r="O76" s="13"/>
      <c r="P76" s="13"/>
    </row>
    <row r="77" spans="1:16" ht="12">
      <c r="A77" s="13"/>
      <c r="B77" s="13"/>
      <c r="C77" s="13"/>
      <c r="D77" s="13"/>
      <c r="E77" s="13"/>
      <c r="F77" s="13"/>
      <c r="G77" s="13"/>
      <c r="H77" s="13"/>
      <c r="I77" s="13"/>
      <c r="J77" s="13"/>
      <c r="K77" s="13"/>
      <c r="L77" s="13"/>
      <c r="M77" s="13"/>
      <c r="N77" s="13"/>
      <c r="O77" s="13"/>
      <c r="P77" s="13"/>
    </row>
    <row r="78" spans="1:16" ht="12">
      <c r="A78" s="13"/>
      <c r="B78" s="13"/>
      <c r="C78" s="13"/>
      <c r="D78" s="13"/>
      <c r="E78" s="13"/>
      <c r="F78" s="13"/>
      <c r="G78" s="13"/>
      <c r="H78" s="13"/>
      <c r="I78" s="13"/>
      <c r="J78" s="13"/>
      <c r="K78" s="13"/>
      <c r="L78" s="13"/>
      <c r="M78" s="13"/>
      <c r="N78" s="13"/>
      <c r="O78" s="13"/>
      <c r="P78" s="13"/>
    </row>
    <row r="79" spans="1:16" ht="12">
      <c r="A79" s="13"/>
      <c r="B79" s="13"/>
      <c r="C79" s="13"/>
      <c r="D79" s="13"/>
      <c r="E79" s="13"/>
      <c r="F79" s="13"/>
      <c r="G79" s="13"/>
      <c r="H79" s="13"/>
      <c r="I79" s="13"/>
      <c r="J79" s="13"/>
      <c r="K79" s="13"/>
      <c r="L79" s="13"/>
      <c r="M79" s="13"/>
      <c r="N79" s="13"/>
      <c r="O79" s="13"/>
      <c r="P79" s="13"/>
    </row>
    <row r="80" spans="1:16" ht="12">
      <c r="A80" s="13"/>
      <c r="B80" s="13"/>
      <c r="C80" s="13"/>
      <c r="D80" s="13"/>
      <c r="E80" s="13"/>
      <c r="F80" s="13"/>
      <c r="G80" s="13"/>
      <c r="H80" s="13"/>
      <c r="I80" s="13"/>
      <c r="J80" s="13"/>
      <c r="K80" s="13"/>
      <c r="L80" s="13"/>
      <c r="M80" s="13"/>
      <c r="N80" s="13"/>
      <c r="O80" s="13"/>
      <c r="P80" s="13"/>
    </row>
    <row r="81" spans="1:16" ht="12">
      <c r="A81" s="13"/>
      <c r="B81" s="13"/>
      <c r="C81" s="13"/>
      <c r="D81" s="13"/>
      <c r="E81" s="13"/>
      <c r="F81" s="13"/>
      <c r="G81" s="13"/>
      <c r="H81" s="13"/>
      <c r="I81" s="13"/>
      <c r="J81" s="13"/>
      <c r="K81" s="13"/>
      <c r="L81" s="13"/>
      <c r="M81" s="13"/>
      <c r="N81" s="13"/>
      <c r="O81" s="13"/>
      <c r="P81" s="13"/>
    </row>
    <row r="82" spans="1:16" ht="12">
      <c r="A82" s="13"/>
      <c r="B82" s="13"/>
      <c r="C82" s="13"/>
      <c r="D82" s="13"/>
      <c r="E82" s="13"/>
      <c r="F82" s="13"/>
      <c r="G82" s="13"/>
      <c r="H82" s="13"/>
      <c r="I82" s="13"/>
      <c r="J82" s="13"/>
      <c r="K82" s="13"/>
      <c r="L82" s="13"/>
      <c r="M82" s="13"/>
      <c r="N82" s="13"/>
      <c r="O82" s="13"/>
      <c r="P82" s="13"/>
    </row>
    <row r="83" spans="1:16" ht="12">
      <c r="A83" s="13"/>
      <c r="B83" s="13"/>
      <c r="C83" s="13"/>
      <c r="D83" s="13"/>
      <c r="E83" s="13"/>
      <c r="F83" s="13"/>
      <c r="G83" s="13"/>
      <c r="H83" s="13"/>
      <c r="I83" s="13"/>
      <c r="J83" s="13"/>
      <c r="K83" s="13"/>
      <c r="L83" s="13"/>
      <c r="M83" s="13"/>
      <c r="N83" s="13"/>
      <c r="O83" s="13"/>
      <c r="P83" s="13"/>
    </row>
    <row r="84" spans="1:16" ht="12">
      <c r="A84" s="13"/>
      <c r="B84" s="13"/>
      <c r="C84" s="13"/>
      <c r="D84" s="13"/>
      <c r="E84" s="13"/>
      <c r="F84" s="13"/>
      <c r="G84" s="13"/>
      <c r="H84" s="13"/>
      <c r="I84" s="13"/>
      <c r="J84" s="13"/>
      <c r="K84" s="13"/>
      <c r="L84" s="13"/>
      <c r="M84" s="13"/>
      <c r="N84" s="13"/>
      <c r="O84" s="13"/>
      <c r="P84" s="13"/>
    </row>
    <row r="85" spans="1:16" ht="12">
      <c r="A85" s="13"/>
      <c r="B85" s="13"/>
      <c r="C85" s="13"/>
      <c r="D85" s="13"/>
      <c r="E85" s="13"/>
      <c r="F85" s="13"/>
      <c r="G85" s="13"/>
      <c r="H85" s="13"/>
      <c r="I85" s="13"/>
      <c r="J85" s="13"/>
      <c r="K85" s="13"/>
      <c r="L85" s="13"/>
      <c r="M85" s="13"/>
      <c r="N85" s="13"/>
      <c r="O85" s="13"/>
      <c r="P85" s="13"/>
    </row>
    <row r="86" spans="1:16" ht="12">
      <c r="A86" s="13"/>
      <c r="B86" s="13"/>
      <c r="C86" s="13"/>
      <c r="D86" s="13"/>
      <c r="E86" s="13"/>
      <c r="F86" s="13"/>
      <c r="G86" s="13"/>
      <c r="H86" s="13"/>
      <c r="I86" s="13"/>
      <c r="J86" s="13"/>
      <c r="K86" s="13"/>
      <c r="L86" s="13"/>
      <c r="M86" s="13"/>
      <c r="N86" s="13"/>
      <c r="O86" s="13"/>
      <c r="P86" s="13"/>
    </row>
    <row r="87" spans="1:16" ht="12">
      <c r="A87" s="13"/>
      <c r="B87" s="13"/>
      <c r="C87" s="13"/>
      <c r="D87" s="13"/>
      <c r="E87" s="13"/>
      <c r="F87" s="13"/>
      <c r="G87" s="13"/>
      <c r="H87" s="13"/>
      <c r="I87" s="13"/>
      <c r="J87" s="13"/>
      <c r="K87" s="13"/>
      <c r="L87" s="13"/>
      <c r="M87" s="13"/>
      <c r="N87" s="13"/>
      <c r="O87" s="13"/>
      <c r="P87" s="13"/>
    </row>
    <row r="88" spans="1:16" ht="12">
      <c r="A88" s="13"/>
      <c r="B88" s="13"/>
      <c r="C88" s="13"/>
      <c r="D88" s="13"/>
      <c r="E88" s="13"/>
      <c r="F88" s="13"/>
      <c r="G88" s="13"/>
      <c r="H88" s="13"/>
      <c r="I88" s="13"/>
      <c r="J88" s="13"/>
      <c r="K88" s="13"/>
      <c r="L88" s="13"/>
      <c r="M88" s="13"/>
      <c r="N88" s="13"/>
      <c r="O88" s="13"/>
      <c r="P88" s="13"/>
    </row>
    <row r="89" spans="1:16" ht="12">
      <c r="A89" s="13"/>
      <c r="B89" s="13"/>
      <c r="C89" s="13"/>
      <c r="D89" s="13"/>
      <c r="E89" s="13"/>
      <c r="F89" s="13"/>
      <c r="G89" s="13"/>
      <c r="H89" s="13"/>
      <c r="I89" s="13"/>
      <c r="J89" s="13"/>
      <c r="K89" s="13"/>
      <c r="L89" s="13"/>
      <c r="M89" s="13"/>
      <c r="N89" s="13"/>
      <c r="O89" s="13"/>
      <c r="P89" s="13"/>
    </row>
    <row r="90" spans="1:16" ht="12">
      <c r="A90" s="13"/>
      <c r="B90" s="13"/>
      <c r="C90" s="13"/>
      <c r="D90" s="13"/>
      <c r="E90" s="13"/>
      <c r="F90" s="13"/>
      <c r="G90" s="13"/>
      <c r="H90" s="13"/>
      <c r="I90" s="13"/>
      <c r="J90" s="13"/>
      <c r="K90" s="13"/>
      <c r="L90" s="13"/>
      <c r="M90" s="13"/>
      <c r="N90" s="13"/>
      <c r="O90" s="13"/>
      <c r="P90" s="13"/>
    </row>
    <row r="91" spans="1:16" ht="12">
      <c r="A91" s="13"/>
      <c r="B91" s="13"/>
      <c r="C91" s="13"/>
      <c r="D91" s="13"/>
      <c r="E91" s="13"/>
      <c r="F91" s="13"/>
      <c r="G91" s="13"/>
      <c r="H91" s="13"/>
      <c r="I91" s="13"/>
      <c r="J91" s="13"/>
      <c r="K91" s="13"/>
      <c r="L91" s="13"/>
      <c r="M91" s="13"/>
      <c r="N91" s="13"/>
      <c r="O91" s="13"/>
      <c r="P91" s="13"/>
    </row>
    <row r="92" spans="1:16" ht="12">
      <c r="A92" s="13"/>
      <c r="B92" s="13"/>
      <c r="C92" s="13"/>
      <c r="D92" s="13"/>
      <c r="E92" s="13"/>
      <c r="F92" s="13"/>
      <c r="G92" s="13"/>
      <c r="H92" s="13"/>
      <c r="I92" s="13"/>
      <c r="J92" s="13"/>
      <c r="K92" s="13"/>
      <c r="L92" s="13"/>
      <c r="M92" s="13"/>
      <c r="N92" s="13"/>
      <c r="O92" s="13"/>
      <c r="P92" s="13"/>
    </row>
    <row r="93" spans="1:16" ht="12">
      <c r="A93" s="13"/>
      <c r="B93" s="13"/>
      <c r="C93" s="13"/>
      <c r="D93" s="13"/>
      <c r="E93" s="13"/>
      <c r="F93" s="13"/>
      <c r="G93" s="13"/>
      <c r="H93" s="13"/>
      <c r="I93" s="13"/>
      <c r="J93" s="13"/>
      <c r="K93" s="13"/>
      <c r="L93" s="13"/>
      <c r="M93" s="13"/>
      <c r="N93" s="13"/>
      <c r="O93" s="13"/>
      <c r="P93" s="13"/>
    </row>
    <row r="94" spans="1:16" ht="12">
      <c r="A94" s="13"/>
      <c r="B94" s="13"/>
      <c r="C94" s="13"/>
      <c r="D94" s="13"/>
      <c r="E94" s="13"/>
      <c r="F94" s="13"/>
      <c r="G94" s="13"/>
      <c r="H94" s="13"/>
      <c r="I94" s="13"/>
      <c r="J94" s="13"/>
      <c r="K94" s="13"/>
      <c r="L94" s="13"/>
      <c r="M94" s="13"/>
      <c r="N94" s="13"/>
      <c r="O94" s="13"/>
      <c r="P94" s="13"/>
    </row>
    <row r="95" spans="1:16" ht="12">
      <c r="A95" s="13"/>
      <c r="B95" s="13"/>
      <c r="C95" s="13"/>
      <c r="D95" s="13"/>
      <c r="E95" s="13"/>
      <c r="F95" s="13"/>
      <c r="G95" s="13"/>
      <c r="H95" s="13"/>
      <c r="I95" s="13"/>
      <c r="J95" s="13"/>
      <c r="K95" s="13"/>
      <c r="L95" s="13"/>
      <c r="M95" s="13"/>
      <c r="N95" s="13"/>
      <c r="O95" s="13"/>
      <c r="P95" s="13"/>
    </row>
    <row r="96" spans="1:16" ht="12">
      <c r="A96" s="13"/>
      <c r="B96" s="13"/>
      <c r="C96" s="13"/>
      <c r="D96" s="13"/>
      <c r="E96" s="13"/>
      <c r="F96" s="13"/>
      <c r="G96" s="13"/>
      <c r="H96" s="13"/>
      <c r="I96" s="13"/>
      <c r="J96" s="13"/>
      <c r="K96" s="13"/>
      <c r="L96" s="13"/>
      <c r="M96" s="13"/>
      <c r="N96" s="13"/>
      <c r="O96" s="13"/>
      <c r="P96" s="13"/>
    </row>
    <row r="97" spans="1:16" ht="12">
      <c r="A97" s="13"/>
      <c r="B97" s="13"/>
      <c r="C97" s="13"/>
      <c r="D97" s="13"/>
      <c r="E97" s="13"/>
      <c r="F97" s="13"/>
      <c r="G97" s="13"/>
      <c r="H97" s="13"/>
      <c r="I97" s="13"/>
      <c r="J97" s="13"/>
      <c r="K97" s="13"/>
      <c r="L97" s="13"/>
      <c r="M97" s="13"/>
      <c r="N97" s="13"/>
      <c r="O97" s="13"/>
      <c r="P97" s="13"/>
    </row>
    <row r="98" spans="1:16" ht="12">
      <c r="A98" s="13"/>
      <c r="B98" s="13"/>
      <c r="C98" s="13"/>
      <c r="D98" s="13"/>
      <c r="E98" s="13"/>
      <c r="F98" s="13"/>
      <c r="G98" s="13"/>
      <c r="H98" s="13"/>
      <c r="I98" s="13"/>
      <c r="J98" s="13"/>
      <c r="K98" s="13"/>
      <c r="L98" s="13"/>
      <c r="M98" s="13"/>
      <c r="N98" s="13"/>
      <c r="O98" s="13"/>
      <c r="P98" s="13"/>
    </row>
    <row r="99" spans="1:16" ht="12">
      <c r="A99" s="13"/>
      <c r="B99" s="13"/>
      <c r="C99" s="13"/>
      <c r="D99" s="13"/>
      <c r="E99" s="13"/>
      <c r="F99" s="13"/>
      <c r="G99" s="13"/>
      <c r="H99" s="13"/>
      <c r="I99" s="13"/>
      <c r="J99" s="13"/>
      <c r="K99" s="13"/>
      <c r="L99" s="13"/>
      <c r="M99" s="13"/>
      <c r="N99" s="13"/>
      <c r="O99" s="13"/>
      <c r="P99" s="13"/>
    </row>
    <row r="100" spans="1:16" ht="12">
      <c r="A100" s="13"/>
      <c r="B100" s="13"/>
      <c r="C100" s="13"/>
      <c r="D100" s="13"/>
      <c r="E100" s="13"/>
      <c r="F100" s="13"/>
      <c r="G100" s="13"/>
      <c r="H100" s="13"/>
      <c r="I100" s="13"/>
      <c r="J100" s="13"/>
      <c r="K100" s="13"/>
      <c r="L100" s="13"/>
      <c r="M100" s="13"/>
      <c r="N100" s="13"/>
      <c r="O100" s="13"/>
      <c r="P100" s="13"/>
    </row>
    <row r="101" spans="1:16" ht="12">
      <c r="A101" s="13"/>
      <c r="B101" s="13"/>
      <c r="C101" s="13"/>
      <c r="D101" s="13"/>
      <c r="E101" s="13"/>
      <c r="F101" s="13"/>
      <c r="G101" s="13"/>
      <c r="H101" s="13"/>
      <c r="I101" s="13"/>
      <c r="J101" s="13"/>
      <c r="K101" s="13"/>
      <c r="L101" s="13"/>
      <c r="M101" s="13"/>
      <c r="N101" s="13"/>
      <c r="O101" s="13"/>
      <c r="P101" s="13"/>
    </row>
    <row r="102" spans="1:16" ht="12">
      <c r="A102" s="13"/>
      <c r="B102" s="13"/>
      <c r="C102" s="13"/>
      <c r="D102" s="13"/>
      <c r="E102" s="13"/>
      <c r="F102" s="13"/>
      <c r="G102" s="13"/>
      <c r="H102" s="13"/>
      <c r="I102" s="13"/>
      <c r="J102" s="13"/>
      <c r="K102" s="13"/>
      <c r="L102" s="13"/>
      <c r="M102" s="13"/>
      <c r="N102" s="13"/>
      <c r="O102" s="13"/>
      <c r="P102" s="13"/>
    </row>
    <row r="103" spans="1:16" ht="12">
      <c r="A103" s="13"/>
      <c r="B103" s="13"/>
      <c r="C103" s="13"/>
      <c r="D103" s="13"/>
      <c r="E103" s="13"/>
      <c r="F103" s="13"/>
      <c r="G103" s="13"/>
      <c r="H103" s="13"/>
      <c r="I103" s="13"/>
      <c r="J103" s="13"/>
      <c r="K103" s="13"/>
      <c r="L103" s="13"/>
      <c r="M103" s="13"/>
      <c r="N103" s="13"/>
      <c r="O103" s="13"/>
      <c r="P103" s="13"/>
    </row>
    <row r="104" spans="1:16" ht="12">
      <c r="A104" s="13"/>
      <c r="B104" s="13"/>
      <c r="C104" s="13"/>
      <c r="D104" s="13"/>
      <c r="E104" s="13"/>
      <c r="F104" s="13"/>
      <c r="G104" s="13"/>
      <c r="H104" s="13"/>
      <c r="I104" s="13"/>
      <c r="J104" s="13"/>
      <c r="K104" s="13"/>
      <c r="L104" s="13"/>
      <c r="M104" s="13"/>
      <c r="N104" s="13"/>
      <c r="O104" s="13"/>
      <c r="P104" s="13"/>
    </row>
    <row r="105" spans="1:16" ht="12">
      <c r="A105" s="13"/>
      <c r="B105" s="13"/>
      <c r="C105" s="13"/>
      <c r="D105" s="13"/>
      <c r="E105" s="13"/>
      <c r="F105" s="13"/>
      <c r="G105" s="13"/>
      <c r="H105" s="13"/>
      <c r="I105" s="13"/>
      <c r="J105" s="13"/>
      <c r="K105" s="13"/>
      <c r="L105" s="13"/>
      <c r="M105" s="13"/>
      <c r="N105" s="13"/>
      <c r="O105" s="13"/>
      <c r="P105" s="13"/>
    </row>
    <row r="106" spans="1:16" ht="12">
      <c r="A106" s="13"/>
      <c r="B106" s="13"/>
      <c r="C106" s="13"/>
      <c r="D106" s="13"/>
      <c r="E106" s="13"/>
      <c r="F106" s="13"/>
      <c r="G106" s="13"/>
      <c r="H106" s="13"/>
      <c r="I106" s="13"/>
      <c r="J106" s="13"/>
      <c r="K106" s="13"/>
      <c r="L106" s="13"/>
      <c r="M106" s="13"/>
      <c r="N106" s="13"/>
      <c r="O106" s="13"/>
      <c r="P106" s="13"/>
    </row>
    <row r="107" spans="1:16" ht="12">
      <c r="A107" s="13"/>
      <c r="B107" s="13"/>
      <c r="C107" s="13"/>
      <c r="D107" s="13"/>
      <c r="E107" s="13"/>
      <c r="F107" s="13"/>
      <c r="G107" s="13"/>
      <c r="H107" s="13"/>
      <c r="I107" s="13"/>
      <c r="J107" s="13"/>
      <c r="K107" s="13"/>
      <c r="L107" s="13"/>
      <c r="M107" s="13"/>
      <c r="N107" s="13"/>
      <c r="O107" s="13"/>
      <c r="P107" s="13"/>
    </row>
    <row r="108" spans="1:16" ht="12">
      <c r="A108" s="13"/>
      <c r="B108" s="13"/>
      <c r="C108" s="13"/>
      <c r="D108" s="13"/>
      <c r="E108" s="13"/>
      <c r="F108" s="13"/>
      <c r="G108" s="13"/>
      <c r="H108" s="13"/>
      <c r="I108" s="13"/>
      <c r="J108" s="13"/>
      <c r="K108" s="13"/>
      <c r="L108" s="13"/>
      <c r="M108" s="13"/>
      <c r="N108" s="13"/>
      <c r="O108" s="13"/>
      <c r="P108" s="13"/>
    </row>
    <row r="109" spans="1:16" ht="12">
      <c r="A109" s="13"/>
      <c r="B109" s="13"/>
      <c r="C109" s="13"/>
      <c r="D109" s="13"/>
      <c r="E109" s="13"/>
      <c r="F109" s="13"/>
      <c r="G109" s="13"/>
      <c r="H109" s="13"/>
      <c r="I109" s="13"/>
      <c r="J109" s="13"/>
      <c r="K109" s="13"/>
      <c r="L109" s="13"/>
      <c r="M109" s="13"/>
      <c r="N109" s="13"/>
      <c r="O109" s="13"/>
      <c r="P109" s="13"/>
    </row>
    <row r="110" spans="1:16" ht="12">
      <c r="A110" s="13"/>
      <c r="B110" s="13"/>
      <c r="C110" s="13"/>
      <c r="D110" s="13"/>
      <c r="E110" s="13"/>
      <c r="F110" s="13"/>
      <c r="G110" s="13"/>
      <c r="H110" s="13"/>
      <c r="I110" s="13"/>
      <c r="J110" s="13"/>
      <c r="K110" s="13"/>
      <c r="L110" s="13"/>
      <c r="M110" s="13"/>
      <c r="N110" s="13"/>
      <c r="O110" s="13"/>
      <c r="P110" s="13"/>
    </row>
    <row r="111" spans="1:16" ht="12">
      <c r="A111" s="13"/>
      <c r="B111" s="13"/>
      <c r="C111" s="13"/>
      <c r="D111" s="13"/>
      <c r="E111" s="13"/>
      <c r="F111" s="13"/>
      <c r="G111" s="13"/>
      <c r="H111" s="13"/>
      <c r="I111" s="13"/>
      <c r="J111" s="13"/>
      <c r="K111" s="13"/>
      <c r="L111" s="13"/>
      <c r="M111" s="13"/>
      <c r="N111" s="13"/>
      <c r="O111" s="13"/>
      <c r="P111" s="13"/>
    </row>
    <row r="112" spans="1:16" ht="12">
      <c r="A112" s="13"/>
      <c r="B112" s="13"/>
      <c r="C112" s="13"/>
      <c r="D112" s="13"/>
      <c r="E112" s="13"/>
      <c r="F112" s="13"/>
      <c r="G112" s="13"/>
      <c r="H112" s="13"/>
      <c r="I112" s="13"/>
      <c r="J112" s="13"/>
      <c r="K112" s="13"/>
      <c r="L112" s="13"/>
      <c r="M112" s="13"/>
      <c r="N112" s="13"/>
      <c r="O112" s="13"/>
      <c r="P112" s="13"/>
    </row>
    <row r="113" spans="1:16" ht="12">
      <c r="A113" s="13"/>
      <c r="B113" s="13"/>
      <c r="C113" s="13"/>
      <c r="D113" s="13"/>
      <c r="E113" s="13"/>
      <c r="F113" s="13"/>
      <c r="G113" s="13"/>
      <c r="H113" s="13"/>
      <c r="I113" s="13"/>
      <c r="J113" s="13"/>
      <c r="K113" s="13"/>
      <c r="L113" s="13"/>
      <c r="M113" s="13"/>
      <c r="N113" s="13"/>
      <c r="O113" s="13"/>
      <c r="P113" s="13"/>
    </row>
    <row r="114" spans="1:16" ht="12">
      <c r="A114" s="13"/>
      <c r="B114" s="13"/>
      <c r="C114" s="13"/>
      <c r="D114" s="13"/>
      <c r="E114" s="13"/>
      <c r="F114" s="13"/>
      <c r="G114" s="13"/>
      <c r="H114" s="13"/>
      <c r="I114" s="13"/>
      <c r="J114" s="13"/>
      <c r="K114" s="13"/>
      <c r="L114" s="13"/>
      <c r="M114" s="13"/>
      <c r="N114" s="13"/>
      <c r="O114" s="13"/>
      <c r="P114" s="13"/>
    </row>
    <row r="115" spans="1:16" ht="12">
      <c r="A115" s="13"/>
      <c r="B115" s="13"/>
      <c r="C115" s="13"/>
      <c r="D115" s="13"/>
      <c r="E115" s="13"/>
      <c r="F115" s="13"/>
      <c r="G115" s="13"/>
      <c r="H115" s="13"/>
      <c r="I115" s="13"/>
      <c r="J115" s="13"/>
      <c r="K115" s="13"/>
      <c r="L115" s="13"/>
      <c r="M115" s="13"/>
      <c r="N115" s="13"/>
      <c r="O115" s="13"/>
      <c r="P115" s="13"/>
    </row>
    <row r="116" spans="1:16" ht="12">
      <c r="A116" s="13"/>
      <c r="B116" s="13"/>
      <c r="C116" s="13"/>
      <c r="D116" s="13"/>
      <c r="E116" s="13"/>
      <c r="F116" s="13"/>
      <c r="G116" s="13"/>
      <c r="H116" s="13"/>
      <c r="I116" s="13"/>
      <c r="J116" s="13"/>
      <c r="K116" s="13"/>
      <c r="L116" s="13"/>
      <c r="M116" s="13"/>
      <c r="N116" s="13"/>
      <c r="O116" s="13"/>
      <c r="P116" s="13"/>
    </row>
    <row r="117" spans="1:16" ht="12">
      <c r="A117" s="13"/>
      <c r="B117" s="13"/>
      <c r="C117" s="13"/>
      <c r="D117" s="13"/>
      <c r="E117" s="13"/>
      <c r="F117" s="13"/>
      <c r="G117" s="13"/>
      <c r="H117" s="13"/>
      <c r="I117" s="13"/>
      <c r="J117" s="13"/>
      <c r="K117" s="13"/>
      <c r="L117" s="13"/>
      <c r="M117" s="13"/>
      <c r="N117" s="13"/>
      <c r="O117" s="13"/>
      <c r="P117" s="13"/>
    </row>
    <row r="118" spans="1:16" ht="12">
      <c r="A118" s="13"/>
      <c r="B118" s="13"/>
      <c r="C118" s="13"/>
      <c r="D118" s="13"/>
      <c r="E118" s="13"/>
      <c r="F118" s="13"/>
      <c r="G118" s="13"/>
      <c r="H118" s="13"/>
      <c r="I118" s="13"/>
      <c r="J118" s="13"/>
      <c r="K118" s="13"/>
      <c r="L118" s="13"/>
      <c r="M118" s="13"/>
      <c r="N118" s="13"/>
      <c r="O118" s="13"/>
      <c r="P118" s="13"/>
    </row>
    <row r="119" spans="1:16" ht="12">
      <c r="A119" s="13"/>
      <c r="B119" s="13"/>
      <c r="C119" s="13"/>
      <c r="D119" s="13"/>
      <c r="E119" s="13"/>
      <c r="F119" s="13"/>
      <c r="G119" s="13"/>
      <c r="H119" s="13"/>
      <c r="I119" s="13"/>
      <c r="J119" s="13"/>
      <c r="K119" s="13"/>
      <c r="L119" s="13"/>
      <c r="M119" s="13"/>
      <c r="N119" s="13"/>
      <c r="O119" s="13"/>
      <c r="P119" s="13"/>
    </row>
    <row r="120" spans="1:16" ht="12">
      <c r="A120" s="13"/>
      <c r="B120" s="13"/>
      <c r="C120" s="13"/>
      <c r="D120" s="13"/>
      <c r="E120" s="13"/>
      <c r="F120" s="13"/>
      <c r="G120" s="13"/>
      <c r="H120" s="13"/>
      <c r="I120" s="13"/>
      <c r="J120" s="13"/>
      <c r="K120" s="13"/>
      <c r="L120" s="13"/>
      <c r="M120" s="13"/>
      <c r="N120" s="13"/>
      <c r="O120" s="13"/>
      <c r="P120" s="13"/>
    </row>
    <row r="121" spans="1:16" ht="12">
      <c r="A121" s="13"/>
      <c r="B121" s="13"/>
      <c r="C121" s="13"/>
      <c r="D121" s="13"/>
      <c r="E121" s="13"/>
      <c r="F121" s="13"/>
      <c r="G121" s="13"/>
      <c r="H121" s="13"/>
      <c r="I121" s="13"/>
      <c r="J121" s="13"/>
      <c r="K121" s="13"/>
      <c r="L121" s="13"/>
      <c r="M121" s="13"/>
      <c r="N121" s="13"/>
      <c r="O121" s="13"/>
      <c r="P121" s="13"/>
    </row>
    <row r="122" spans="1:16" ht="12">
      <c r="A122" s="13"/>
      <c r="B122" s="13"/>
      <c r="C122" s="13"/>
      <c r="D122" s="13"/>
      <c r="E122" s="13"/>
      <c r="F122" s="13"/>
      <c r="G122" s="13"/>
      <c r="H122" s="13"/>
      <c r="I122" s="13"/>
      <c r="J122" s="13"/>
      <c r="K122" s="13"/>
      <c r="L122" s="13"/>
      <c r="M122" s="13"/>
      <c r="N122" s="13"/>
      <c r="O122" s="13"/>
      <c r="P122" s="13"/>
    </row>
    <row r="123" spans="1:16" ht="12">
      <c r="A123" s="13"/>
      <c r="B123" s="13"/>
      <c r="C123" s="13"/>
      <c r="D123" s="13"/>
      <c r="E123" s="13"/>
      <c r="F123" s="13"/>
      <c r="G123" s="13"/>
      <c r="H123" s="13"/>
      <c r="I123" s="13"/>
      <c r="J123" s="13"/>
      <c r="K123" s="13"/>
      <c r="L123" s="13"/>
      <c r="M123" s="13"/>
      <c r="N123" s="13"/>
      <c r="O123" s="13"/>
      <c r="P123" s="13"/>
    </row>
    <row r="124" spans="1:16" ht="12">
      <c r="A124" s="13"/>
      <c r="B124" s="13"/>
      <c r="C124" s="13"/>
      <c r="D124" s="13"/>
      <c r="E124" s="13"/>
      <c r="F124" s="13"/>
      <c r="G124" s="13"/>
      <c r="H124" s="13"/>
      <c r="I124" s="13"/>
      <c r="J124" s="13"/>
      <c r="K124" s="13"/>
      <c r="L124" s="13"/>
      <c r="M124" s="13"/>
      <c r="N124" s="13"/>
      <c r="O124" s="13"/>
      <c r="P124" s="13"/>
    </row>
    <row r="125" spans="1:16" ht="12">
      <c r="A125" s="13"/>
      <c r="B125" s="13"/>
      <c r="C125" s="13"/>
      <c r="D125" s="13"/>
      <c r="E125" s="13"/>
      <c r="F125" s="13"/>
      <c r="G125" s="13"/>
      <c r="H125" s="13"/>
      <c r="I125" s="13"/>
      <c r="J125" s="13"/>
      <c r="K125" s="13"/>
      <c r="L125" s="13"/>
      <c r="M125" s="13"/>
      <c r="N125" s="13"/>
      <c r="O125" s="13"/>
      <c r="P125" s="13"/>
    </row>
    <row r="126" spans="1:16" ht="12">
      <c r="A126" s="13"/>
      <c r="B126" s="13"/>
      <c r="C126" s="13"/>
      <c r="D126" s="13"/>
      <c r="E126" s="13"/>
      <c r="F126" s="13"/>
      <c r="G126" s="13"/>
      <c r="H126" s="13"/>
      <c r="I126" s="13"/>
      <c r="J126" s="13"/>
      <c r="K126" s="13"/>
      <c r="L126" s="13"/>
      <c r="M126" s="13"/>
      <c r="N126" s="13"/>
      <c r="O126" s="13"/>
      <c r="P126" s="13"/>
    </row>
    <row r="127" spans="1:16" ht="12">
      <c r="A127" s="13"/>
      <c r="B127" s="13"/>
      <c r="C127" s="13"/>
      <c r="D127" s="13"/>
      <c r="E127" s="13"/>
      <c r="F127" s="13"/>
      <c r="G127" s="13"/>
      <c r="H127" s="13"/>
      <c r="I127" s="13"/>
      <c r="J127" s="13"/>
      <c r="K127" s="13"/>
      <c r="L127" s="13"/>
      <c r="M127" s="13"/>
      <c r="N127" s="13"/>
      <c r="O127" s="13"/>
      <c r="P127" s="13"/>
    </row>
    <row r="128" spans="1:16" ht="12">
      <c r="A128" s="13"/>
      <c r="B128" s="13"/>
      <c r="C128" s="13"/>
      <c r="D128" s="13"/>
      <c r="E128" s="13"/>
      <c r="F128" s="13"/>
      <c r="G128" s="13"/>
      <c r="H128" s="13"/>
      <c r="I128" s="13"/>
      <c r="J128" s="13"/>
      <c r="K128" s="13"/>
      <c r="L128" s="13"/>
      <c r="M128" s="13"/>
      <c r="N128" s="13"/>
      <c r="O128" s="13"/>
      <c r="P128" s="13"/>
    </row>
    <row r="129" spans="1:16" ht="12">
      <c r="A129" s="13"/>
      <c r="B129" s="13"/>
      <c r="C129" s="13"/>
      <c r="D129" s="13"/>
      <c r="E129" s="13"/>
      <c r="F129" s="13"/>
      <c r="G129" s="13"/>
      <c r="H129" s="13"/>
      <c r="I129" s="13"/>
      <c r="J129" s="13"/>
      <c r="K129" s="13"/>
      <c r="L129" s="13"/>
      <c r="M129" s="13"/>
      <c r="N129" s="13"/>
      <c r="O129" s="13"/>
      <c r="P129" s="13"/>
    </row>
    <row r="130" spans="1:16" ht="12">
      <c r="A130" s="13"/>
      <c r="B130" s="13"/>
      <c r="C130" s="13"/>
      <c r="D130" s="13"/>
      <c r="E130" s="13"/>
      <c r="F130" s="13"/>
      <c r="G130" s="13"/>
      <c r="H130" s="13"/>
      <c r="I130" s="13"/>
      <c r="J130" s="13"/>
      <c r="K130" s="13"/>
      <c r="L130" s="13"/>
      <c r="M130" s="13"/>
      <c r="N130" s="13"/>
      <c r="O130" s="13"/>
      <c r="P130" s="13"/>
    </row>
    <row r="131" spans="1:16" ht="12">
      <c r="A131" s="13"/>
      <c r="B131" s="13"/>
      <c r="C131" s="13"/>
      <c r="D131" s="13"/>
      <c r="E131" s="13"/>
      <c r="F131" s="13"/>
      <c r="G131" s="13"/>
      <c r="H131" s="13"/>
      <c r="I131" s="13"/>
      <c r="J131" s="13"/>
      <c r="K131" s="13"/>
      <c r="L131" s="13"/>
      <c r="M131" s="13"/>
      <c r="N131" s="13"/>
      <c r="O131" s="13"/>
      <c r="P131" s="13"/>
    </row>
    <row r="132" spans="1:16" ht="12">
      <c r="A132" s="13"/>
      <c r="B132" s="13"/>
      <c r="C132" s="13"/>
      <c r="D132" s="13"/>
      <c r="E132" s="13"/>
      <c r="F132" s="13"/>
      <c r="G132" s="13"/>
      <c r="H132" s="13"/>
      <c r="I132" s="13"/>
      <c r="J132" s="13"/>
      <c r="K132" s="13"/>
      <c r="L132" s="13"/>
      <c r="M132" s="13"/>
      <c r="N132" s="13"/>
      <c r="O132" s="13"/>
      <c r="P132" s="13"/>
    </row>
    <row r="133" spans="1:16" ht="12">
      <c r="A133" s="13"/>
      <c r="B133" s="13"/>
      <c r="C133" s="13"/>
      <c r="D133" s="13"/>
      <c r="E133" s="13"/>
      <c r="F133" s="13"/>
      <c r="G133" s="13"/>
      <c r="H133" s="13"/>
      <c r="I133" s="13"/>
      <c r="J133" s="13"/>
      <c r="K133" s="13"/>
      <c r="L133" s="13"/>
      <c r="M133" s="13"/>
      <c r="N133" s="13"/>
      <c r="O133" s="13"/>
      <c r="P133" s="13"/>
    </row>
    <row r="134" spans="1:16" ht="12">
      <c r="A134" s="13"/>
      <c r="B134" s="13"/>
      <c r="C134" s="13"/>
      <c r="D134" s="13"/>
      <c r="E134" s="13"/>
      <c r="F134" s="13"/>
      <c r="G134" s="13"/>
      <c r="H134" s="13"/>
      <c r="I134" s="13"/>
      <c r="J134" s="13"/>
      <c r="K134" s="13"/>
      <c r="L134" s="13"/>
      <c r="M134" s="13"/>
      <c r="N134" s="13"/>
      <c r="O134" s="13"/>
      <c r="P134" s="13"/>
    </row>
    <row r="135" spans="1:16" ht="12">
      <c r="A135" s="13"/>
      <c r="B135" s="13"/>
      <c r="C135" s="13"/>
      <c r="D135" s="13"/>
      <c r="E135" s="13"/>
      <c r="F135" s="13"/>
      <c r="G135" s="13"/>
      <c r="H135" s="13"/>
      <c r="I135" s="13"/>
      <c r="J135" s="13"/>
      <c r="K135" s="13"/>
      <c r="L135" s="13"/>
      <c r="M135" s="13"/>
      <c r="N135" s="13"/>
      <c r="O135" s="13"/>
      <c r="P135" s="13"/>
    </row>
    <row r="136" spans="1:16" ht="12">
      <c r="A136" s="13"/>
      <c r="B136" s="13"/>
      <c r="C136" s="13"/>
      <c r="D136" s="13"/>
      <c r="E136" s="13"/>
      <c r="F136" s="13"/>
      <c r="G136" s="13"/>
      <c r="H136" s="13"/>
      <c r="I136" s="13"/>
      <c r="J136" s="13"/>
      <c r="K136" s="13"/>
      <c r="L136" s="13"/>
      <c r="M136" s="13"/>
      <c r="N136" s="13"/>
      <c r="O136" s="13"/>
      <c r="P136" s="13"/>
    </row>
    <row r="137" spans="1:16" ht="12">
      <c r="A137" s="13"/>
      <c r="B137" s="13"/>
      <c r="C137" s="13"/>
      <c r="D137" s="13"/>
      <c r="E137" s="13"/>
      <c r="F137" s="13"/>
      <c r="G137" s="13"/>
      <c r="H137" s="13"/>
      <c r="I137" s="13"/>
      <c r="J137" s="13"/>
      <c r="K137" s="13"/>
      <c r="L137" s="13"/>
      <c r="M137" s="13"/>
      <c r="N137" s="13"/>
      <c r="O137" s="13"/>
      <c r="P137" s="13"/>
    </row>
    <row r="138" spans="1:16" ht="12">
      <c r="A138" s="13"/>
      <c r="B138" s="13"/>
      <c r="C138" s="13"/>
      <c r="D138" s="13"/>
      <c r="E138" s="13"/>
      <c r="F138" s="13"/>
      <c r="G138" s="13"/>
      <c r="H138" s="13"/>
      <c r="I138" s="13"/>
      <c r="J138" s="13"/>
      <c r="K138" s="13"/>
      <c r="L138" s="13"/>
      <c r="M138" s="13"/>
      <c r="N138" s="13"/>
      <c r="O138" s="13"/>
      <c r="P138" s="13"/>
    </row>
    <row r="139" spans="1:16" ht="12">
      <c r="A139" s="13"/>
      <c r="B139" s="13"/>
      <c r="C139" s="13"/>
      <c r="D139" s="13"/>
      <c r="E139" s="13"/>
      <c r="F139" s="13"/>
      <c r="G139" s="13"/>
      <c r="H139" s="13"/>
      <c r="I139" s="13"/>
      <c r="J139" s="13"/>
      <c r="K139" s="13"/>
      <c r="L139" s="13"/>
      <c r="M139" s="13"/>
      <c r="N139" s="13"/>
      <c r="O139" s="13"/>
      <c r="P139" s="13"/>
    </row>
    <row r="140" spans="1:16" ht="12">
      <c r="A140" s="13"/>
      <c r="B140" s="13"/>
      <c r="C140" s="13"/>
      <c r="D140" s="13"/>
      <c r="E140" s="13"/>
      <c r="F140" s="13"/>
      <c r="G140" s="13"/>
      <c r="H140" s="13"/>
      <c r="I140" s="13"/>
      <c r="J140" s="13"/>
      <c r="K140" s="13"/>
      <c r="L140" s="13"/>
      <c r="M140" s="13"/>
      <c r="N140" s="13"/>
      <c r="O140" s="13"/>
      <c r="P140" s="13"/>
    </row>
    <row r="141" spans="1:16" ht="12">
      <c r="A141" s="13"/>
      <c r="B141" s="13"/>
      <c r="C141" s="13"/>
      <c r="D141" s="13"/>
      <c r="E141" s="13"/>
      <c r="F141" s="13"/>
      <c r="G141" s="13"/>
      <c r="H141" s="13"/>
      <c r="I141" s="13"/>
      <c r="J141" s="13"/>
      <c r="K141" s="13"/>
      <c r="L141" s="13"/>
      <c r="M141" s="13"/>
      <c r="N141" s="13"/>
      <c r="O141" s="13"/>
      <c r="P141" s="13"/>
    </row>
    <row r="142" spans="1:16" ht="12">
      <c r="A142" s="13"/>
      <c r="B142" s="13"/>
      <c r="C142" s="13"/>
      <c r="D142" s="13"/>
      <c r="E142" s="13"/>
      <c r="F142" s="13"/>
      <c r="G142" s="13"/>
      <c r="H142" s="13"/>
      <c r="I142" s="13"/>
      <c r="J142" s="13"/>
      <c r="K142" s="13"/>
      <c r="L142" s="13"/>
      <c r="M142" s="13"/>
      <c r="N142" s="13"/>
      <c r="O142" s="13"/>
      <c r="P142" s="13"/>
    </row>
    <row r="143" spans="1:16" ht="12">
      <c r="A143" s="13"/>
      <c r="B143" s="13"/>
      <c r="C143" s="13"/>
      <c r="D143" s="13"/>
      <c r="E143" s="13"/>
      <c r="F143" s="13"/>
      <c r="G143" s="13"/>
      <c r="H143" s="13"/>
      <c r="I143" s="13"/>
      <c r="J143" s="13"/>
      <c r="K143" s="13"/>
      <c r="L143" s="13"/>
      <c r="M143" s="13"/>
      <c r="N143" s="13"/>
      <c r="O143" s="13"/>
      <c r="P143" s="13"/>
    </row>
    <row r="144" spans="1:16" ht="12">
      <c r="A144" s="13"/>
      <c r="B144" s="13"/>
      <c r="C144" s="13"/>
      <c r="D144" s="13"/>
      <c r="E144" s="13"/>
      <c r="F144" s="13"/>
      <c r="G144" s="13"/>
      <c r="H144" s="13"/>
      <c r="I144" s="13"/>
      <c r="J144" s="13"/>
      <c r="K144" s="13"/>
      <c r="L144" s="13"/>
      <c r="M144" s="13"/>
      <c r="N144" s="13"/>
      <c r="O144" s="13"/>
      <c r="P144" s="13"/>
    </row>
    <row r="145" spans="1:16" ht="12">
      <c r="A145" s="13"/>
      <c r="B145" s="13"/>
      <c r="C145" s="13"/>
      <c r="D145" s="13"/>
      <c r="E145" s="13"/>
      <c r="F145" s="13"/>
      <c r="G145" s="13"/>
      <c r="H145" s="13"/>
      <c r="I145" s="13"/>
      <c r="J145" s="13"/>
      <c r="K145" s="13"/>
      <c r="L145" s="13"/>
      <c r="M145" s="13"/>
      <c r="N145" s="13"/>
      <c r="O145" s="13"/>
      <c r="P145" s="13"/>
    </row>
    <row r="146" spans="1:16" ht="12">
      <c r="A146" s="13"/>
      <c r="B146" s="13"/>
      <c r="C146" s="13"/>
      <c r="D146" s="13"/>
      <c r="E146" s="13"/>
      <c r="F146" s="13"/>
      <c r="G146" s="13"/>
      <c r="H146" s="13"/>
      <c r="I146" s="13"/>
      <c r="J146" s="13"/>
      <c r="K146" s="13"/>
      <c r="L146" s="13"/>
      <c r="M146" s="13"/>
      <c r="N146" s="13"/>
      <c r="O146" s="13"/>
      <c r="P146" s="13"/>
    </row>
    <row r="147" spans="1:16" ht="12">
      <c r="A147" s="13"/>
      <c r="B147" s="13"/>
      <c r="C147" s="13"/>
      <c r="D147" s="13"/>
      <c r="E147" s="13"/>
      <c r="F147" s="13"/>
      <c r="G147" s="13"/>
      <c r="H147" s="13"/>
      <c r="I147" s="13"/>
      <c r="J147" s="13"/>
      <c r="K147" s="13"/>
      <c r="L147" s="13"/>
      <c r="M147" s="13"/>
      <c r="N147" s="13"/>
      <c r="O147" s="13"/>
      <c r="P147" s="13"/>
    </row>
    <row r="148" spans="1:16" ht="12">
      <c r="A148" s="13"/>
      <c r="B148" s="13"/>
      <c r="C148" s="13"/>
      <c r="D148" s="13"/>
      <c r="E148" s="13"/>
      <c r="F148" s="13"/>
      <c r="G148" s="13"/>
      <c r="H148" s="13"/>
      <c r="I148" s="13"/>
      <c r="J148" s="13"/>
      <c r="K148" s="13"/>
      <c r="L148" s="13"/>
      <c r="M148" s="13"/>
      <c r="N148" s="13"/>
      <c r="O148" s="13"/>
      <c r="P148" s="13"/>
    </row>
    <row r="149" spans="1:16" ht="12">
      <c r="A149" s="13"/>
      <c r="B149" s="13"/>
      <c r="C149" s="13"/>
      <c r="D149" s="13"/>
      <c r="E149" s="13"/>
      <c r="F149" s="13"/>
      <c r="G149" s="13"/>
      <c r="H149" s="13"/>
      <c r="I149" s="13"/>
      <c r="J149" s="13"/>
      <c r="K149" s="13"/>
      <c r="L149" s="13"/>
      <c r="M149" s="13"/>
      <c r="N149" s="13"/>
      <c r="O149" s="13"/>
      <c r="P149" s="13"/>
    </row>
    <row r="150" spans="1:16" ht="12">
      <c r="A150" s="13"/>
      <c r="B150" s="13"/>
      <c r="C150" s="13"/>
      <c r="D150" s="13"/>
      <c r="E150" s="13"/>
      <c r="F150" s="13"/>
      <c r="G150" s="13"/>
      <c r="H150" s="13"/>
      <c r="I150" s="13"/>
      <c r="J150" s="13"/>
      <c r="K150" s="13"/>
      <c r="L150" s="13"/>
      <c r="M150" s="13"/>
      <c r="N150" s="13"/>
      <c r="O150" s="13"/>
      <c r="P150" s="13"/>
    </row>
    <row r="151" spans="1:16" ht="12">
      <c r="A151" s="13"/>
      <c r="B151" s="13"/>
      <c r="C151" s="13"/>
      <c r="D151" s="13"/>
      <c r="E151" s="13"/>
      <c r="F151" s="13"/>
      <c r="G151" s="13"/>
      <c r="H151" s="13"/>
      <c r="I151" s="13"/>
      <c r="J151" s="13"/>
      <c r="K151" s="13"/>
      <c r="L151" s="13"/>
      <c r="M151" s="13"/>
      <c r="N151" s="13"/>
      <c r="O151" s="13"/>
      <c r="P151" s="13"/>
    </row>
    <row r="152" spans="1:16" ht="12">
      <c r="A152" s="13"/>
      <c r="B152" s="13"/>
      <c r="C152" s="13"/>
      <c r="D152" s="13"/>
      <c r="E152" s="13"/>
      <c r="F152" s="13"/>
      <c r="G152" s="13"/>
      <c r="H152" s="13"/>
      <c r="I152" s="13"/>
      <c r="J152" s="13"/>
      <c r="K152" s="13"/>
      <c r="L152" s="13"/>
      <c r="M152" s="13"/>
      <c r="N152" s="13"/>
      <c r="O152" s="13"/>
      <c r="P152" s="13"/>
    </row>
    <row r="153" spans="1:16" ht="12">
      <c r="A153" s="13"/>
      <c r="B153" s="13"/>
      <c r="C153" s="13"/>
      <c r="D153" s="13"/>
      <c r="E153" s="13"/>
      <c r="F153" s="13"/>
      <c r="G153" s="13"/>
      <c r="H153" s="13"/>
      <c r="I153" s="13"/>
      <c r="J153" s="13"/>
      <c r="K153" s="13"/>
      <c r="L153" s="13"/>
      <c r="M153" s="13"/>
      <c r="N153" s="13"/>
      <c r="O153" s="13"/>
      <c r="P153" s="13"/>
    </row>
    <row r="154" spans="1:16" ht="12">
      <c r="A154" s="13"/>
      <c r="B154" s="13"/>
      <c r="C154" s="13"/>
      <c r="D154" s="13"/>
      <c r="E154" s="13"/>
      <c r="F154" s="13"/>
      <c r="G154" s="13"/>
      <c r="H154" s="13"/>
      <c r="I154" s="13"/>
      <c r="J154" s="13"/>
      <c r="K154" s="13"/>
      <c r="L154" s="13"/>
      <c r="M154" s="13"/>
      <c r="N154" s="13"/>
      <c r="O154" s="13"/>
      <c r="P154" s="13"/>
    </row>
    <row r="155" spans="1:16" ht="12">
      <c r="A155" s="13"/>
      <c r="B155" s="13"/>
      <c r="C155" s="13"/>
      <c r="D155" s="13"/>
      <c r="E155" s="13"/>
      <c r="F155" s="13"/>
      <c r="G155" s="13"/>
      <c r="H155" s="13"/>
      <c r="I155" s="13"/>
      <c r="J155" s="13"/>
      <c r="K155" s="13"/>
      <c r="L155" s="13"/>
      <c r="M155" s="13"/>
      <c r="N155" s="13"/>
      <c r="O155" s="13"/>
      <c r="P155" s="13"/>
    </row>
    <row r="156" spans="1:16" ht="12">
      <c r="A156" s="13"/>
      <c r="B156" s="13"/>
      <c r="C156" s="13"/>
      <c r="D156" s="13"/>
      <c r="E156" s="13"/>
      <c r="F156" s="13"/>
      <c r="G156" s="13"/>
      <c r="H156" s="13"/>
      <c r="I156" s="13"/>
      <c r="J156" s="13"/>
      <c r="K156" s="13"/>
      <c r="L156" s="13"/>
      <c r="M156" s="13"/>
      <c r="N156" s="13"/>
      <c r="O156" s="13"/>
      <c r="P156" s="13"/>
    </row>
    <row r="157" spans="1:16" ht="12">
      <c r="A157" s="13"/>
      <c r="B157" s="13"/>
      <c r="C157" s="13"/>
      <c r="D157" s="13"/>
      <c r="E157" s="13"/>
      <c r="F157" s="13"/>
      <c r="G157" s="13"/>
      <c r="H157" s="13"/>
      <c r="I157" s="13"/>
      <c r="J157" s="13"/>
      <c r="K157" s="13"/>
      <c r="L157" s="13"/>
      <c r="M157" s="13"/>
      <c r="N157" s="13"/>
      <c r="O157" s="13"/>
      <c r="P157" s="13"/>
    </row>
    <row r="158" spans="1:16" ht="12">
      <c r="A158" s="13"/>
      <c r="B158" s="13"/>
      <c r="C158" s="13"/>
      <c r="D158" s="13"/>
      <c r="E158" s="13"/>
      <c r="F158" s="13"/>
      <c r="G158" s="13"/>
      <c r="H158" s="13"/>
      <c r="I158" s="13"/>
      <c r="J158" s="13"/>
      <c r="K158" s="13"/>
      <c r="L158" s="13"/>
      <c r="M158" s="13"/>
      <c r="N158" s="13"/>
      <c r="O158" s="13"/>
      <c r="P158" s="13"/>
    </row>
    <row r="159" spans="1:16" ht="12">
      <c r="A159" s="13"/>
      <c r="B159" s="13"/>
      <c r="C159" s="13"/>
      <c r="D159" s="13"/>
      <c r="E159" s="13"/>
      <c r="F159" s="13"/>
      <c r="G159" s="13"/>
      <c r="H159" s="13"/>
      <c r="I159" s="13"/>
      <c r="J159" s="13"/>
      <c r="K159" s="13"/>
      <c r="L159" s="13"/>
      <c r="M159" s="13"/>
      <c r="N159" s="13"/>
      <c r="O159" s="13"/>
      <c r="P159" s="13"/>
    </row>
    <row r="160" spans="1:16" ht="12">
      <c r="A160" s="13"/>
      <c r="B160" s="13"/>
      <c r="C160" s="13"/>
      <c r="D160" s="13"/>
      <c r="E160" s="13"/>
      <c r="F160" s="13"/>
      <c r="G160" s="13"/>
      <c r="H160" s="13"/>
      <c r="I160" s="13"/>
      <c r="J160" s="13"/>
      <c r="K160" s="13"/>
      <c r="L160" s="13"/>
      <c r="M160" s="13"/>
      <c r="N160" s="13"/>
      <c r="O160" s="13"/>
      <c r="P160" s="13"/>
    </row>
    <row r="161" spans="1:16" ht="12">
      <c r="A161" s="13"/>
      <c r="B161" s="13"/>
      <c r="C161" s="13"/>
      <c r="D161" s="13"/>
      <c r="E161" s="13"/>
      <c r="F161" s="13"/>
      <c r="G161" s="13"/>
      <c r="H161" s="13"/>
      <c r="I161" s="13"/>
      <c r="J161" s="13"/>
      <c r="K161" s="13"/>
      <c r="L161" s="13"/>
      <c r="M161" s="13"/>
      <c r="N161" s="13"/>
      <c r="O161" s="13"/>
      <c r="P161" s="13"/>
    </row>
    <row r="162" spans="1:16" ht="12">
      <c r="A162" s="13"/>
      <c r="B162" s="13"/>
      <c r="C162" s="13"/>
      <c r="D162" s="13"/>
      <c r="E162" s="13"/>
      <c r="F162" s="13"/>
      <c r="G162" s="13"/>
      <c r="H162" s="13"/>
      <c r="I162" s="13"/>
      <c r="J162" s="13"/>
      <c r="K162" s="13"/>
      <c r="L162" s="13"/>
      <c r="M162" s="13"/>
      <c r="N162" s="13"/>
      <c r="O162" s="13"/>
      <c r="P162" s="13"/>
    </row>
    <row r="163" spans="1:16" ht="12">
      <c r="A163" s="13"/>
      <c r="B163" s="13"/>
      <c r="C163" s="13"/>
      <c r="D163" s="13"/>
      <c r="E163" s="13"/>
      <c r="F163" s="13"/>
      <c r="G163" s="13"/>
      <c r="H163" s="13"/>
      <c r="I163" s="13"/>
      <c r="J163" s="13"/>
      <c r="K163" s="13"/>
      <c r="L163" s="13"/>
      <c r="M163" s="13"/>
      <c r="N163" s="13"/>
      <c r="O163" s="13"/>
      <c r="P163" s="13"/>
    </row>
    <row r="164" spans="1:16" ht="12">
      <c r="A164" s="13"/>
      <c r="B164" s="13"/>
      <c r="C164" s="13"/>
      <c r="D164" s="13"/>
      <c r="E164" s="13"/>
      <c r="F164" s="13"/>
      <c r="G164" s="13"/>
      <c r="H164" s="13"/>
      <c r="I164" s="13"/>
      <c r="J164" s="13"/>
      <c r="K164" s="13"/>
      <c r="L164" s="13"/>
      <c r="M164" s="13"/>
      <c r="N164" s="13"/>
      <c r="O164" s="13"/>
      <c r="P164" s="13"/>
    </row>
    <row r="165" spans="1:16" ht="12">
      <c r="A165" s="13"/>
      <c r="B165" s="13"/>
      <c r="C165" s="13"/>
      <c r="D165" s="13"/>
      <c r="E165" s="13"/>
      <c r="F165" s="13"/>
      <c r="G165" s="13"/>
      <c r="H165" s="13"/>
      <c r="I165" s="13"/>
      <c r="J165" s="13"/>
      <c r="K165" s="13"/>
      <c r="L165" s="13"/>
      <c r="M165" s="13"/>
      <c r="N165" s="13"/>
      <c r="O165" s="13"/>
      <c r="P165" s="13"/>
    </row>
    <row r="166" spans="1:16" ht="12">
      <c r="A166" s="13"/>
      <c r="B166" s="13"/>
      <c r="C166" s="13"/>
      <c r="D166" s="13"/>
      <c r="E166" s="13"/>
      <c r="F166" s="13"/>
      <c r="G166" s="13"/>
      <c r="H166" s="13"/>
      <c r="I166" s="13"/>
      <c r="J166" s="13"/>
      <c r="K166" s="13"/>
      <c r="L166" s="13"/>
      <c r="M166" s="13"/>
      <c r="N166" s="13"/>
      <c r="O166" s="13"/>
      <c r="P166" s="13"/>
    </row>
    <row r="167" spans="1:16" ht="12">
      <c r="A167" s="13"/>
      <c r="B167" s="13"/>
      <c r="C167" s="13"/>
      <c r="D167" s="13"/>
      <c r="E167" s="13"/>
      <c r="F167" s="13"/>
      <c r="G167" s="13"/>
      <c r="H167" s="13"/>
      <c r="I167" s="13"/>
      <c r="J167" s="13"/>
      <c r="K167" s="13"/>
      <c r="L167" s="13"/>
      <c r="M167" s="13"/>
      <c r="N167" s="13"/>
      <c r="O167" s="13"/>
      <c r="P167" s="13"/>
    </row>
    <row r="168" spans="1:16" ht="12">
      <c r="A168" s="13"/>
      <c r="B168" s="13"/>
      <c r="C168" s="13"/>
      <c r="D168" s="13"/>
      <c r="E168" s="13"/>
      <c r="F168" s="13"/>
      <c r="G168" s="13"/>
      <c r="H168" s="13"/>
      <c r="I168" s="13"/>
      <c r="J168" s="13"/>
      <c r="K168" s="13"/>
      <c r="L168" s="13"/>
      <c r="M168" s="13"/>
      <c r="N168" s="13"/>
      <c r="O168" s="13"/>
      <c r="P168" s="13"/>
    </row>
    <row r="169" spans="1:16" ht="12">
      <c r="A169" s="13"/>
      <c r="B169" s="13"/>
      <c r="C169" s="13"/>
      <c r="D169" s="13"/>
      <c r="E169" s="13"/>
      <c r="F169" s="13"/>
      <c r="G169" s="13"/>
      <c r="H169" s="13"/>
      <c r="I169" s="13"/>
      <c r="J169" s="13"/>
      <c r="K169" s="13"/>
      <c r="L169" s="13"/>
      <c r="M169" s="13"/>
      <c r="N169" s="13"/>
      <c r="O169" s="13"/>
      <c r="P169" s="13"/>
    </row>
    <row r="170" spans="1:16" ht="12">
      <c r="A170" s="13"/>
      <c r="B170" s="13"/>
      <c r="C170" s="13"/>
      <c r="D170" s="13"/>
      <c r="E170" s="13"/>
      <c r="F170" s="13"/>
      <c r="G170" s="13"/>
      <c r="H170" s="13"/>
      <c r="I170" s="13"/>
      <c r="J170" s="13"/>
      <c r="K170" s="13"/>
      <c r="L170" s="13"/>
      <c r="M170" s="13"/>
      <c r="N170" s="13"/>
      <c r="O170" s="13"/>
      <c r="P170" s="13"/>
    </row>
    <row r="171" spans="1:16" ht="12">
      <c r="A171" s="13"/>
      <c r="B171" s="13"/>
      <c r="C171" s="13"/>
      <c r="D171" s="13"/>
      <c r="E171" s="13"/>
      <c r="F171" s="13"/>
      <c r="G171" s="13"/>
      <c r="H171" s="13"/>
      <c r="I171" s="13"/>
      <c r="J171" s="13"/>
      <c r="K171" s="13"/>
      <c r="L171" s="13"/>
      <c r="M171" s="13"/>
      <c r="N171" s="13"/>
      <c r="O171" s="13"/>
      <c r="P171" s="13"/>
    </row>
    <row r="172" spans="1:16" ht="12">
      <c r="A172" s="13"/>
      <c r="B172" s="13"/>
      <c r="C172" s="13"/>
      <c r="D172" s="13"/>
      <c r="E172" s="13"/>
      <c r="F172" s="13"/>
      <c r="G172" s="13"/>
      <c r="H172" s="13"/>
      <c r="I172" s="13"/>
      <c r="J172" s="13"/>
      <c r="K172" s="13"/>
      <c r="L172" s="13"/>
      <c r="M172" s="13"/>
      <c r="N172" s="13"/>
      <c r="O172" s="13"/>
      <c r="P172" s="13"/>
    </row>
    <row r="173" spans="1:16" ht="12">
      <c r="A173" s="13"/>
      <c r="B173" s="13"/>
      <c r="C173" s="13"/>
      <c r="D173" s="13"/>
      <c r="E173" s="13"/>
      <c r="F173" s="13"/>
      <c r="G173" s="13"/>
      <c r="H173" s="13"/>
      <c r="I173" s="13"/>
      <c r="J173" s="13"/>
      <c r="K173" s="13"/>
      <c r="L173" s="13"/>
      <c r="M173" s="13"/>
      <c r="N173" s="13"/>
      <c r="O173" s="13"/>
      <c r="P173" s="13"/>
    </row>
    <row r="174" spans="1:16" ht="12">
      <c r="A174" s="13"/>
      <c r="B174" s="13"/>
      <c r="C174" s="13"/>
      <c r="D174" s="13"/>
      <c r="E174" s="13"/>
      <c r="F174" s="13"/>
      <c r="G174" s="13"/>
      <c r="H174" s="13"/>
      <c r="I174" s="13"/>
      <c r="J174" s="13"/>
      <c r="K174" s="13"/>
      <c r="L174" s="13"/>
      <c r="M174" s="13"/>
      <c r="N174" s="13"/>
      <c r="O174" s="13"/>
      <c r="P174" s="13"/>
    </row>
    <row r="175" spans="1:16" ht="12">
      <c r="A175" s="13"/>
      <c r="B175" s="13"/>
      <c r="C175" s="13"/>
      <c r="D175" s="13"/>
      <c r="E175" s="13"/>
      <c r="F175" s="13"/>
      <c r="G175" s="13"/>
      <c r="H175" s="13"/>
      <c r="I175" s="13"/>
      <c r="J175" s="13"/>
      <c r="K175" s="13"/>
      <c r="L175" s="13"/>
      <c r="M175" s="13"/>
      <c r="N175" s="13"/>
      <c r="O175" s="13"/>
      <c r="P175" s="13"/>
    </row>
    <row r="176" spans="1:16" ht="12">
      <c r="A176" s="13"/>
      <c r="B176" s="13"/>
      <c r="C176" s="13"/>
      <c r="D176" s="13"/>
      <c r="E176" s="13"/>
      <c r="F176" s="13"/>
      <c r="G176" s="13"/>
      <c r="H176" s="13"/>
      <c r="I176" s="13"/>
      <c r="J176" s="13"/>
      <c r="K176" s="13"/>
      <c r="L176" s="13"/>
      <c r="M176" s="13"/>
      <c r="N176" s="13"/>
      <c r="O176" s="13"/>
      <c r="P176" s="13"/>
    </row>
    <row r="177" spans="1:16" ht="12">
      <c r="A177" s="13"/>
      <c r="B177" s="13"/>
      <c r="C177" s="13"/>
      <c r="D177" s="13"/>
      <c r="E177" s="13"/>
      <c r="F177" s="13"/>
      <c r="G177" s="13"/>
      <c r="H177" s="13"/>
      <c r="I177" s="13"/>
      <c r="J177" s="13"/>
      <c r="K177" s="13"/>
      <c r="L177" s="13"/>
      <c r="M177" s="13"/>
      <c r="N177" s="13"/>
      <c r="O177" s="13"/>
      <c r="P177" s="13"/>
    </row>
    <row r="178" spans="1:16" ht="12">
      <c r="A178" s="13"/>
      <c r="B178" s="13"/>
      <c r="C178" s="13"/>
      <c r="D178" s="13"/>
      <c r="E178" s="13"/>
      <c r="F178" s="13"/>
      <c r="G178" s="13"/>
      <c r="H178" s="13"/>
      <c r="I178" s="13"/>
      <c r="J178" s="13"/>
      <c r="K178" s="13"/>
      <c r="L178" s="13"/>
      <c r="M178" s="13"/>
      <c r="N178" s="13"/>
      <c r="O178" s="13"/>
      <c r="P178" s="13"/>
    </row>
    <row r="179" spans="1:16" ht="12">
      <c r="A179" s="13"/>
      <c r="B179" s="13"/>
      <c r="C179" s="13"/>
      <c r="D179" s="13"/>
      <c r="E179" s="13"/>
      <c r="F179" s="13"/>
      <c r="G179" s="13"/>
      <c r="H179" s="13"/>
      <c r="I179" s="13"/>
      <c r="J179" s="13"/>
      <c r="K179" s="13"/>
      <c r="L179" s="13"/>
      <c r="M179" s="13"/>
      <c r="N179" s="13"/>
      <c r="O179" s="13"/>
      <c r="P179" s="13"/>
    </row>
    <row r="180" spans="1:16" ht="12">
      <c r="A180" s="13"/>
      <c r="B180" s="13"/>
      <c r="C180" s="13"/>
      <c r="D180" s="13"/>
      <c r="E180" s="13"/>
      <c r="F180" s="13"/>
      <c r="G180" s="13"/>
      <c r="H180" s="13"/>
      <c r="I180" s="13"/>
      <c r="J180" s="13"/>
      <c r="K180" s="13"/>
      <c r="L180" s="13"/>
      <c r="M180" s="13"/>
      <c r="N180" s="13"/>
      <c r="O180" s="13"/>
      <c r="P180" s="13"/>
    </row>
    <row r="181" spans="1:16" ht="12">
      <c r="A181" s="13"/>
      <c r="B181" s="13"/>
      <c r="C181" s="13"/>
      <c r="D181" s="13"/>
      <c r="E181" s="13"/>
      <c r="F181" s="13"/>
      <c r="G181" s="13"/>
      <c r="H181" s="13"/>
      <c r="I181" s="13"/>
      <c r="J181" s="13"/>
      <c r="K181" s="13"/>
      <c r="L181" s="13"/>
      <c r="M181" s="13"/>
      <c r="N181" s="13"/>
      <c r="O181" s="13"/>
      <c r="P181" s="13"/>
    </row>
    <row r="182" spans="1:16" ht="12">
      <c r="A182" s="13"/>
      <c r="B182" s="13"/>
      <c r="C182" s="13"/>
      <c r="D182" s="13"/>
      <c r="E182" s="13"/>
      <c r="F182" s="13"/>
      <c r="G182" s="13"/>
      <c r="H182" s="13"/>
      <c r="I182" s="13"/>
      <c r="J182" s="13"/>
      <c r="K182" s="13"/>
      <c r="L182" s="13"/>
      <c r="M182" s="13"/>
      <c r="N182" s="13"/>
      <c r="O182" s="13"/>
      <c r="P182" s="13"/>
    </row>
    <row r="183" spans="1:16" ht="12">
      <c r="A183" s="13"/>
      <c r="B183" s="13"/>
      <c r="C183" s="13"/>
      <c r="D183" s="13"/>
      <c r="E183" s="13"/>
      <c r="F183" s="13"/>
      <c r="G183" s="13"/>
      <c r="H183" s="13"/>
      <c r="I183" s="13"/>
      <c r="J183" s="13"/>
      <c r="K183" s="13"/>
      <c r="L183" s="13"/>
      <c r="M183" s="13"/>
      <c r="N183" s="13"/>
      <c r="O183" s="13"/>
      <c r="P183" s="13"/>
    </row>
    <row r="184" spans="1:16" ht="12">
      <c r="A184" s="13"/>
      <c r="B184" s="13"/>
      <c r="C184" s="13"/>
      <c r="D184" s="13"/>
      <c r="E184" s="13"/>
      <c r="F184" s="13"/>
      <c r="G184" s="13"/>
      <c r="H184" s="13"/>
      <c r="I184" s="13"/>
      <c r="J184" s="13"/>
      <c r="K184" s="13"/>
      <c r="L184" s="13"/>
      <c r="M184" s="13"/>
      <c r="N184" s="13"/>
      <c r="O184" s="13"/>
      <c r="P184" s="13"/>
    </row>
    <row r="185" spans="1:16" ht="12">
      <c r="A185" s="13"/>
      <c r="B185" s="13"/>
      <c r="C185" s="13"/>
      <c r="D185" s="13"/>
      <c r="E185" s="13"/>
      <c r="F185" s="13"/>
      <c r="G185" s="13"/>
      <c r="H185" s="13"/>
      <c r="I185" s="13"/>
      <c r="J185" s="13"/>
      <c r="K185" s="13"/>
      <c r="L185" s="13"/>
      <c r="M185" s="13"/>
      <c r="N185" s="13"/>
      <c r="O185" s="13"/>
      <c r="P185" s="13"/>
    </row>
    <row r="186" spans="1:16" ht="12">
      <c r="A186" s="13"/>
      <c r="B186" s="13"/>
      <c r="C186" s="13"/>
      <c r="D186" s="13"/>
      <c r="E186" s="13"/>
      <c r="F186" s="13"/>
      <c r="G186" s="13"/>
      <c r="H186" s="13"/>
      <c r="I186" s="13"/>
      <c r="J186" s="13"/>
      <c r="K186" s="13"/>
      <c r="L186" s="13"/>
      <c r="M186" s="13"/>
      <c r="N186" s="13"/>
      <c r="O186" s="13"/>
      <c r="P186" s="13"/>
    </row>
    <row r="187" spans="1:16" ht="12">
      <c r="A187" s="13"/>
      <c r="B187" s="13"/>
      <c r="C187" s="13"/>
      <c r="D187" s="13"/>
      <c r="E187" s="13"/>
      <c r="F187" s="13"/>
      <c r="G187" s="13"/>
      <c r="H187" s="13"/>
      <c r="I187" s="13"/>
      <c r="J187" s="13"/>
      <c r="K187" s="13"/>
      <c r="L187" s="13"/>
      <c r="M187" s="13"/>
      <c r="N187" s="13"/>
      <c r="O187" s="13"/>
      <c r="P187" s="13"/>
    </row>
    <row r="188" spans="1:16" ht="12">
      <c r="A188" s="13"/>
      <c r="B188" s="13"/>
      <c r="C188" s="13"/>
      <c r="D188" s="13"/>
      <c r="E188" s="13"/>
      <c r="F188" s="13"/>
      <c r="G188" s="13"/>
      <c r="H188" s="13"/>
      <c r="I188" s="13"/>
      <c r="J188" s="13"/>
      <c r="K188" s="13"/>
      <c r="L188" s="13"/>
      <c r="M188" s="13"/>
      <c r="N188" s="13"/>
      <c r="O188" s="13"/>
      <c r="P188" s="13"/>
    </row>
    <row r="189" spans="1:16" ht="12">
      <c r="A189" s="13"/>
      <c r="B189" s="13"/>
      <c r="C189" s="13"/>
      <c r="D189" s="13"/>
      <c r="E189" s="13"/>
      <c r="F189" s="13"/>
      <c r="G189" s="13"/>
      <c r="H189" s="13"/>
      <c r="I189" s="13"/>
      <c r="J189" s="13"/>
      <c r="K189" s="13"/>
      <c r="L189" s="13"/>
      <c r="M189" s="13"/>
      <c r="N189" s="13"/>
      <c r="O189" s="13"/>
      <c r="P189" s="13"/>
    </row>
    <row r="190" spans="1:16" ht="12">
      <c r="A190" s="13"/>
      <c r="B190" s="13"/>
      <c r="C190" s="13"/>
      <c r="D190" s="13"/>
      <c r="E190" s="13"/>
      <c r="F190" s="13"/>
      <c r="G190" s="13"/>
      <c r="H190" s="13"/>
      <c r="I190" s="13"/>
      <c r="J190" s="13"/>
      <c r="K190" s="13"/>
      <c r="L190" s="13"/>
      <c r="M190" s="13"/>
      <c r="N190" s="13"/>
      <c r="O190" s="13"/>
      <c r="P190" s="13"/>
    </row>
    <row r="191" spans="1:16" ht="12">
      <c r="A191" s="13"/>
      <c r="B191" s="13"/>
      <c r="C191" s="13"/>
      <c r="D191" s="13"/>
      <c r="E191" s="13"/>
      <c r="F191" s="13"/>
      <c r="G191" s="13"/>
      <c r="H191" s="13"/>
      <c r="I191" s="13"/>
      <c r="J191" s="13"/>
      <c r="K191" s="13"/>
      <c r="L191" s="13"/>
      <c r="M191" s="13"/>
      <c r="N191" s="13"/>
      <c r="O191" s="13"/>
      <c r="P191" s="13"/>
    </row>
    <row r="192" spans="1:16" ht="12">
      <c r="A192" s="13"/>
      <c r="B192" s="13"/>
      <c r="C192" s="13"/>
      <c r="D192" s="13"/>
      <c r="E192" s="13"/>
      <c r="F192" s="13"/>
      <c r="G192" s="13"/>
      <c r="H192" s="13"/>
      <c r="I192" s="13"/>
      <c r="J192" s="13"/>
      <c r="K192" s="13"/>
      <c r="L192" s="13"/>
      <c r="M192" s="13"/>
      <c r="N192" s="13"/>
      <c r="O192" s="13"/>
      <c r="P192" s="13"/>
    </row>
    <row r="193" spans="1:16" ht="12">
      <c r="A193" s="13"/>
      <c r="B193" s="13"/>
      <c r="C193" s="13"/>
      <c r="D193" s="13"/>
      <c r="E193" s="13"/>
      <c r="F193" s="13"/>
      <c r="G193" s="13"/>
      <c r="H193" s="13"/>
      <c r="I193" s="13"/>
      <c r="J193" s="13"/>
      <c r="K193" s="13"/>
      <c r="L193" s="13"/>
      <c r="M193" s="13"/>
      <c r="N193" s="13"/>
      <c r="O193" s="13"/>
      <c r="P193" s="13"/>
    </row>
    <row r="194" spans="1:16" ht="12">
      <c r="A194" s="13"/>
      <c r="B194" s="13"/>
      <c r="C194" s="13"/>
      <c r="D194" s="13"/>
      <c r="E194" s="13"/>
      <c r="F194" s="13"/>
      <c r="G194" s="13"/>
      <c r="H194" s="13"/>
      <c r="I194" s="13"/>
      <c r="J194" s="13"/>
      <c r="K194" s="13"/>
      <c r="L194" s="13"/>
      <c r="M194" s="13"/>
      <c r="N194" s="13"/>
      <c r="O194" s="13"/>
      <c r="P194" s="13"/>
    </row>
    <row r="195" spans="1:16" ht="12">
      <c r="A195" s="13"/>
      <c r="B195" s="13"/>
      <c r="C195" s="13"/>
      <c r="D195" s="13"/>
      <c r="E195" s="13"/>
      <c r="F195" s="13"/>
      <c r="G195" s="13"/>
      <c r="H195" s="13"/>
      <c r="I195" s="13"/>
      <c r="J195" s="13"/>
      <c r="K195" s="13"/>
      <c r="L195" s="13"/>
      <c r="M195" s="13"/>
      <c r="N195" s="13"/>
      <c r="O195" s="13"/>
      <c r="P195" s="13"/>
    </row>
    <row r="196" spans="1:16" ht="12">
      <c r="A196" s="13"/>
      <c r="B196" s="13"/>
      <c r="C196" s="13"/>
      <c r="D196" s="13"/>
      <c r="E196" s="13"/>
      <c r="F196" s="13"/>
      <c r="G196" s="13"/>
      <c r="H196" s="13"/>
      <c r="I196" s="13"/>
      <c r="J196" s="13"/>
      <c r="K196" s="13"/>
      <c r="L196" s="13"/>
      <c r="M196" s="13"/>
      <c r="N196" s="13"/>
      <c r="O196" s="13"/>
      <c r="P196" s="13"/>
    </row>
    <row r="197" spans="1:16" ht="12">
      <c r="A197" s="13"/>
      <c r="B197" s="13"/>
      <c r="C197" s="13"/>
      <c r="D197" s="13"/>
      <c r="E197" s="13"/>
      <c r="F197" s="13"/>
      <c r="G197" s="13"/>
      <c r="H197" s="13"/>
      <c r="I197" s="13"/>
      <c r="J197" s="13"/>
      <c r="K197" s="13"/>
      <c r="L197" s="13"/>
      <c r="M197" s="13"/>
      <c r="N197" s="13"/>
      <c r="O197" s="13"/>
      <c r="P197" s="13"/>
    </row>
    <row r="198" spans="1:16" ht="12">
      <c r="A198" s="13"/>
      <c r="B198" s="13"/>
      <c r="C198" s="13"/>
      <c r="D198" s="13"/>
      <c r="E198" s="13"/>
      <c r="F198" s="13"/>
      <c r="G198" s="13"/>
      <c r="H198" s="13"/>
      <c r="I198" s="13"/>
      <c r="J198" s="13"/>
      <c r="K198" s="13"/>
      <c r="L198" s="13"/>
      <c r="M198" s="13"/>
      <c r="N198" s="13"/>
      <c r="O198" s="13"/>
      <c r="P198" s="13"/>
    </row>
    <row r="199" spans="1:16" ht="12">
      <c r="A199" s="13"/>
      <c r="B199" s="13"/>
      <c r="C199" s="13"/>
      <c r="D199" s="13"/>
      <c r="E199" s="13"/>
      <c r="F199" s="13"/>
      <c r="G199" s="13"/>
      <c r="H199" s="13"/>
      <c r="I199" s="13"/>
      <c r="J199" s="13"/>
      <c r="K199" s="13"/>
      <c r="L199" s="13"/>
      <c r="M199" s="13"/>
      <c r="N199" s="13"/>
      <c r="O199" s="13"/>
      <c r="P199" s="13"/>
    </row>
    <row r="200" spans="1:16" ht="12">
      <c r="A200" s="13"/>
      <c r="B200" s="13"/>
      <c r="C200" s="13"/>
      <c r="D200" s="13"/>
      <c r="E200" s="13"/>
      <c r="F200" s="13"/>
      <c r="G200" s="13"/>
      <c r="H200" s="13"/>
      <c r="I200" s="13"/>
      <c r="J200" s="13"/>
      <c r="K200" s="13"/>
      <c r="L200" s="13"/>
      <c r="M200" s="13"/>
      <c r="N200" s="13"/>
      <c r="O200" s="13"/>
      <c r="P200" s="13"/>
    </row>
    <row r="201" spans="1:16" ht="12">
      <c r="A201" s="13"/>
      <c r="B201" s="13"/>
      <c r="C201" s="13"/>
      <c r="D201" s="13"/>
      <c r="E201" s="13"/>
      <c r="F201" s="13"/>
      <c r="G201" s="13"/>
      <c r="H201" s="13"/>
      <c r="I201" s="13"/>
      <c r="J201" s="13"/>
      <c r="K201" s="13"/>
      <c r="L201" s="13"/>
      <c r="M201" s="13"/>
      <c r="N201" s="13"/>
      <c r="O201" s="13"/>
      <c r="P201" s="13"/>
    </row>
    <row r="202" spans="1:16" ht="12">
      <c r="A202" s="13"/>
      <c r="B202" s="13"/>
      <c r="C202" s="13"/>
      <c r="D202" s="13"/>
      <c r="E202" s="13"/>
      <c r="F202" s="13"/>
      <c r="G202" s="13"/>
      <c r="H202" s="13"/>
      <c r="I202" s="13"/>
      <c r="J202" s="13"/>
      <c r="K202" s="13"/>
      <c r="L202" s="13"/>
      <c r="M202" s="13"/>
      <c r="N202" s="13"/>
      <c r="O202" s="13"/>
      <c r="P202" s="13"/>
    </row>
    <row r="203" spans="1:16" ht="12">
      <c r="A203" s="13"/>
      <c r="B203" s="13"/>
      <c r="C203" s="13"/>
      <c r="D203" s="13"/>
      <c r="E203" s="13"/>
      <c r="F203" s="13"/>
      <c r="G203" s="13"/>
      <c r="H203" s="13"/>
      <c r="I203" s="13"/>
      <c r="J203" s="13"/>
      <c r="K203" s="13"/>
      <c r="L203" s="13"/>
      <c r="M203" s="13"/>
      <c r="N203" s="13"/>
      <c r="O203" s="13"/>
      <c r="P203" s="13"/>
    </row>
    <row r="204" spans="1:16" ht="12">
      <c r="A204" s="13"/>
      <c r="B204" s="13"/>
      <c r="C204" s="13"/>
      <c r="D204" s="13"/>
      <c r="E204" s="13"/>
      <c r="F204" s="13"/>
      <c r="G204" s="13"/>
      <c r="H204" s="13"/>
      <c r="I204" s="13"/>
      <c r="J204" s="13"/>
      <c r="K204" s="13"/>
      <c r="L204" s="13"/>
      <c r="M204" s="13"/>
      <c r="N204" s="13"/>
      <c r="O204" s="13"/>
      <c r="P204" s="13"/>
    </row>
    <row r="205" spans="1:16" ht="12">
      <c r="A205" s="13"/>
      <c r="B205" s="13"/>
      <c r="C205" s="13"/>
      <c r="D205" s="13"/>
      <c r="E205" s="13"/>
      <c r="F205" s="13"/>
      <c r="G205" s="13"/>
      <c r="H205" s="13"/>
      <c r="I205" s="13"/>
      <c r="J205" s="13"/>
      <c r="K205" s="13"/>
      <c r="L205" s="13"/>
      <c r="M205" s="13"/>
      <c r="N205" s="13"/>
      <c r="O205" s="13"/>
      <c r="P205" s="13"/>
    </row>
    <row r="206" spans="1:16" ht="12">
      <c r="A206" s="13"/>
      <c r="B206" s="13"/>
      <c r="C206" s="13"/>
      <c r="D206" s="13"/>
      <c r="E206" s="13"/>
      <c r="F206" s="13"/>
      <c r="G206" s="13"/>
      <c r="H206" s="13"/>
      <c r="I206" s="13"/>
      <c r="J206" s="13"/>
      <c r="K206" s="13"/>
      <c r="L206" s="13"/>
      <c r="M206" s="13"/>
      <c r="N206" s="13"/>
      <c r="O206" s="13"/>
      <c r="P206" s="13"/>
    </row>
    <row r="207" spans="1:16" ht="12">
      <c r="A207" s="13"/>
      <c r="B207" s="13"/>
      <c r="C207" s="13"/>
      <c r="D207" s="13"/>
      <c r="E207" s="13"/>
      <c r="F207" s="13"/>
      <c r="G207" s="13"/>
      <c r="H207" s="13"/>
      <c r="I207" s="13"/>
      <c r="J207" s="13"/>
      <c r="K207" s="13"/>
      <c r="L207" s="13"/>
      <c r="M207" s="13"/>
      <c r="N207" s="13"/>
      <c r="O207" s="13"/>
      <c r="P207" s="13"/>
    </row>
    <row r="208" spans="1:16" ht="12">
      <c r="A208" s="13"/>
      <c r="B208" s="13"/>
      <c r="C208" s="13"/>
      <c r="D208" s="13"/>
      <c r="E208" s="13"/>
      <c r="F208" s="13"/>
      <c r="G208" s="13"/>
      <c r="H208" s="13"/>
      <c r="I208" s="13"/>
      <c r="J208" s="13"/>
      <c r="K208" s="13"/>
      <c r="L208" s="13"/>
      <c r="M208" s="13"/>
      <c r="N208" s="13"/>
      <c r="O208" s="13"/>
      <c r="P208" s="13"/>
    </row>
    <row r="209" spans="1:16" ht="12">
      <c r="A209" s="13"/>
      <c r="B209" s="13"/>
      <c r="C209" s="13"/>
      <c r="D209" s="13"/>
      <c r="E209" s="13"/>
      <c r="F209" s="13"/>
      <c r="G209" s="13"/>
      <c r="H209" s="13"/>
      <c r="I209" s="13"/>
      <c r="J209" s="13"/>
      <c r="K209" s="13"/>
      <c r="L209" s="13"/>
      <c r="M209" s="13"/>
      <c r="N209" s="13"/>
      <c r="O209" s="13"/>
      <c r="P209" s="13"/>
    </row>
    <row r="210" spans="1:16" ht="12">
      <c r="A210" s="13"/>
      <c r="B210" s="13"/>
      <c r="C210" s="13"/>
      <c r="D210" s="13"/>
      <c r="E210" s="13"/>
      <c r="F210" s="13"/>
      <c r="G210" s="13"/>
      <c r="H210" s="13"/>
      <c r="I210" s="13"/>
      <c r="J210" s="13"/>
      <c r="K210" s="13"/>
      <c r="L210" s="13"/>
      <c r="M210" s="13"/>
      <c r="N210" s="13"/>
      <c r="O210" s="13"/>
      <c r="P210" s="13"/>
    </row>
    <row r="211" spans="1:16" ht="12">
      <c r="A211" s="13"/>
      <c r="B211" s="13"/>
      <c r="C211" s="13"/>
      <c r="D211" s="13"/>
      <c r="E211" s="13"/>
      <c r="F211" s="13"/>
      <c r="G211" s="13"/>
      <c r="H211" s="13"/>
      <c r="I211" s="13"/>
      <c r="J211" s="13"/>
      <c r="K211" s="13"/>
      <c r="L211" s="13"/>
      <c r="M211" s="13"/>
      <c r="N211" s="13"/>
      <c r="O211" s="13"/>
      <c r="P211" s="13"/>
    </row>
    <row r="212" spans="1:16" ht="12">
      <c r="A212" s="13"/>
      <c r="B212" s="13"/>
      <c r="C212" s="13"/>
      <c r="D212" s="13"/>
      <c r="E212" s="13"/>
      <c r="F212" s="13"/>
      <c r="G212" s="13"/>
      <c r="H212" s="13"/>
      <c r="I212" s="13"/>
      <c r="J212" s="13"/>
      <c r="K212" s="13"/>
      <c r="L212" s="13"/>
      <c r="M212" s="13"/>
      <c r="N212" s="13"/>
      <c r="O212" s="13"/>
      <c r="P212" s="13"/>
    </row>
    <row r="213" spans="1:16" ht="12">
      <c r="A213" s="13"/>
      <c r="B213" s="13"/>
      <c r="C213" s="13"/>
      <c r="D213" s="13"/>
      <c r="E213" s="13"/>
      <c r="F213" s="13"/>
      <c r="G213" s="13"/>
      <c r="H213" s="13"/>
      <c r="I213" s="13"/>
      <c r="J213" s="13"/>
      <c r="K213" s="13"/>
      <c r="L213" s="13"/>
      <c r="M213" s="13"/>
      <c r="N213" s="13"/>
      <c r="O213" s="13"/>
      <c r="P213" s="13"/>
    </row>
    <row r="214" spans="1:16" ht="12">
      <c r="A214" s="13"/>
      <c r="B214" s="13"/>
      <c r="C214" s="13"/>
      <c r="D214" s="13"/>
      <c r="E214" s="13"/>
      <c r="F214" s="13"/>
      <c r="G214" s="13"/>
      <c r="H214" s="13"/>
      <c r="I214" s="13"/>
      <c r="J214" s="13"/>
      <c r="K214" s="13"/>
      <c r="L214" s="13"/>
      <c r="M214" s="13"/>
      <c r="N214" s="13"/>
      <c r="O214" s="13"/>
      <c r="P214" s="13"/>
    </row>
    <row r="215" spans="1:16" ht="12">
      <c r="A215" s="13"/>
      <c r="B215" s="13"/>
      <c r="C215" s="13"/>
      <c r="D215" s="13"/>
      <c r="E215" s="13"/>
      <c r="F215" s="13"/>
      <c r="G215" s="13"/>
      <c r="H215" s="13"/>
      <c r="I215" s="13"/>
      <c r="J215" s="13"/>
      <c r="K215" s="13"/>
      <c r="L215" s="13"/>
      <c r="M215" s="13"/>
      <c r="N215" s="13"/>
      <c r="O215" s="13"/>
      <c r="P215" s="13"/>
    </row>
    <row r="216" spans="1:16" ht="12">
      <c r="A216" s="13"/>
      <c r="B216" s="13"/>
      <c r="C216" s="13"/>
      <c r="D216" s="13"/>
      <c r="E216" s="13"/>
      <c r="F216" s="13"/>
      <c r="G216" s="13"/>
      <c r="H216" s="13"/>
      <c r="I216" s="13"/>
      <c r="J216" s="13"/>
      <c r="K216" s="13"/>
      <c r="L216" s="13"/>
      <c r="M216" s="13"/>
      <c r="N216" s="13"/>
      <c r="O216" s="13"/>
      <c r="P216" s="13"/>
    </row>
    <row r="217" spans="1:16" ht="12">
      <c r="A217" s="13"/>
      <c r="B217" s="13"/>
      <c r="C217" s="13"/>
      <c r="D217" s="13"/>
      <c r="E217" s="13"/>
      <c r="F217" s="13"/>
      <c r="G217" s="13"/>
      <c r="H217" s="13"/>
      <c r="I217" s="13"/>
      <c r="J217" s="13"/>
      <c r="K217" s="13"/>
      <c r="L217" s="13"/>
      <c r="M217" s="13"/>
      <c r="N217" s="13"/>
      <c r="O217" s="13"/>
      <c r="P217" s="13"/>
    </row>
    <row r="218" spans="1:16" ht="12">
      <c r="A218" s="13"/>
      <c r="B218" s="13"/>
      <c r="C218" s="13"/>
      <c r="D218" s="13"/>
      <c r="E218" s="13"/>
      <c r="F218" s="13"/>
      <c r="G218" s="13"/>
      <c r="H218" s="13"/>
      <c r="I218" s="13"/>
      <c r="J218" s="13"/>
      <c r="K218" s="13"/>
      <c r="L218" s="13"/>
      <c r="M218" s="13"/>
      <c r="N218" s="13"/>
      <c r="O218" s="13"/>
      <c r="P218" s="13"/>
    </row>
    <row r="219" spans="1:16" ht="12">
      <c r="A219" s="13"/>
      <c r="B219" s="13"/>
      <c r="C219" s="13"/>
      <c r="D219" s="13"/>
      <c r="E219" s="13"/>
      <c r="F219" s="13"/>
      <c r="G219" s="13"/>
      <c r="H219" s="13"/>
      <c r="I219" s="13"/>
      <c r="J219" s="13"/>
      <c r="K219" s="13"/>
      <c r="L219" s="13"/>
      <c r="M219" s="13"/>
      <c r="N219" s="13"/>
      <c r="O219" s="13"/>
      <c r="P219" s="13"/>
    </row>
    <row r="220" spans="1:16" ht="12">
      <c r="A220" s="13"/>
      <c r="B220" s="13"/>
      <c r="C220" s="13"/>
      <c r="D220" s="13"/>
      <c r="E220" s="13"/>
      <c r="F220" s="13"/>
      <c r="G220" s="13"/>
      <c r="H220" s="13"/>
      <c r="I220" s="13"/>
      <c r="J220" s="13"/>
      <c r="K220" s="13"/>
      <c r="L220" s="13"/>
      <c r="M220" s="13"/>
      <c r="N220" s="13"/>
      <c r="O220" s="13"/>
      <c r="P220" s="13"/>
    </row>
    <row r="221" spans="1:16" ht="12">
      <c r="A221" s="13"/>
      <c r="B221" s="13"/>
      <c r="C221" s="13"/>
      <c r="D221" s="13"/>
      <c r="E221" s="13"/>
      <c r="F221" s="13"/>
      <c r="G221" s="13"/>
      <c r="H221" s="13"/>
      <c r="I221" s="13"/>
      <c r="J221" s="13"/>
      <c r="K221" s="13"/>
      <c r="L221" s="13"/>
      <c r="M221" s="13"/>
      <c r="N221" s="13"/>
      <c r="O221" s="13"/>
      <c r="P221" s="13"/>
    </row>
    <row r="222" spans="1:16" ht="12">
      <c r="A222" s="13"/>
      <c r="B222" s="13"/>
      <c r="C222" s="13"/>
      <c r="D222" s="13"/>
      <c r="E222" s="13"/>
      <c r="F222" s="13"/>
      <c r="G222" s="13"/>
      <c r="H222" s="13"/>
      <c r="I222" s="13"/>
      <c r="J222" s="13"/>
      <c r="K222" s="13"/>
      <c r="L222" s="13"/>
      <c r="M222" s="13"/>
      <c r="N222" s="13"/>
      <c r="O222" s="13"/>
      <c r="P222" s="13"/>
    </row>
    <row r="223" spans="1:16" ht="12">
      <c r="A223" s="13"/>
      <c r="B223" s="13"/>
      <c r="C223" s="13"/>
      <c r="D223" s="13"/>
      <c r="E223" s="13"/>
      <c r="F223" s="13"/>
      <c r="G223" s="13"/>
      <c r="H223" s="13"/>
      <c r="I223" s="13"/>
      <c r="J223" s="13"/>
      <c r="K223" s="13"/>
      <c r="L223" s="13"/>
      <c r="M223" s="13"/>
      <c r="N223" s="13"/>
      <c r="O223" s="13"/>
      <c r="P223" s="13"/>
    </row>
    <row r="224" spans="1:16" ht="12">
      <c r="A224" s="13"/>
      <c r="B224" s="13"/>
      <c r="C224" s="13"/>
      <c r="D224" s="13"/>
      <c r="E224" s="13"/>
      <c r="F224" s="13"/>
      <c r="G224" s="13"/>
      <c r="H224" s="13"/>
      <c r="I224" s="13"/>
      <c r="J224" s="13"/>
      <c r="K224" s="13"/>
      <c r="L224" s="13"/>
      <c r="M224" s="13"/>
      <c r="N224" s="13"/>
      <c r="O224" s="13"/>
      <c r="P224" s="13"/>
    </row>
    <row r="225" spans="1:16" ht="12">
      <c r="A225" s="13"/>
      <c r="B225" s="13"/>
      <c r="C225" s="13"/>
      <c r="D225" s="13"/>
      <c r="E225" s="13"/>
      <c r="F225" s="13"/>
      <c r="G225" s="13"/>
      <c r="H225" s="13"/>
      <c r="I225" s="13"/>
      <c r="J225" s="13"/>
      <c r="K225" s="13"/>
      <c r="L225" s="13"/>
      <c r="M225" s="13"/>
      <c r="N225" s="13"/>
      <c r="O225" s="13"/>
      <c r="P225" s="13"/>
    </row>
    <row r="226" spans="1:16" ht="12">
      <c r="A226" s="13"/>
      <c r="B226" s="13"/>
      <c r="C226" s="13"/>
      <c r="D226" s="13"/>
      <c r="E226" s="13"/>
      <c r="F226" s="13"/>
      <c r="G226" s="13"/>
      <c r="H226" s="13"/>
      <c r="I226" s="13"/>
      <c r="J226" s="13"/>
      <c r="K226" s="13"/>
      <c r="L226" s="13"/>
      <c r="M226" s="13"/>
      <c r="N226" s="13"/>
      <c r="O226" s="13"/>
      <c r="P226" s="13"/>
    </row>
    <row r="227" spans="1:16" ht="12">
      <c r="A227" s="13"/>
      <c r="B227" s="13"/>
      <c r="C227" s="13"/>
      <c r="D227" s="13"/>
      <c r="E227" s="13"/>
      <c r="F227" s="13"/>
      <c r="G227" s="13"/>
      <c r="H227" s="13"/>
      <c r="I227" s="13"/>
      <c r="J227" s="13"/>
      <c r="K227" s="13"/>
      <c r="L227" s="13"/>
      <c r="M227" s="13"/>
      <c r="N227" s="13"/>
      <c r="O227" s="13"/>
      <c r="P227" s="13"/>
    </row>
    <row r="228" spans="1:16" ht="12">
      <c r="A228" s="13"/>
      <c r="B228" s="13"/>
      <c r="C228" s="13"/>
      <c r="D228" s="13"/>
      <c r="E228" s="13"/>
      <c r="F228" s="13"/>
      <c r="G228" s="13"/>
      <c r="H228" s="13"/>
      <c r="I228" s="13"/>
      <c r="J228" s="13"/>
      <c r="K228" s="13"/>
      <c r="L228" s="13"/>
      <c r="M228" s="13"/>
      <c r="N228" s="13"/>
      <c r="O228" s="13"/>
      <c r="P228" s="13"/>
    </row>
    <row r="229" spans="1:16" ht="12">
      <c r="A229" s="13"/>
      <c r="B229" s="13"/>
      <c r="C229" s="13"/>
      <c r="D229" s="13"/>
      <c r="E229" s="13"/>
      <c r="F229" s="13"/>
      <c r="G229" s="13"/>
      <c r="H229" s="13"/>
      <c r="I229" s="13"/>
      <c r="J229" s="13"/>
      <c r="K229" s="13"/>
      <c r="L229" s="13"/>
      <c r="M229" s="13"/>
      <c r="N229" s="13"/>
      <c r="O229" s="13"/>
      <c r="P229" s="13"/>
    </row>
    <row r="230" spans="1:16" ht="12">
      <c r="A230" s="13"/>
      <c r="B230" s="13"/>
      <c r="C230" s="13"/>
      <c r="D230" s="13"/>
      <c r="E230" s="13"/>
      <c r="F230" s="13"/>
      <c r="G230" s="13"/>
      <c r="H230" s="13"/>
      <c r="I230" s="13"/>
      <c r="J230" s="13"/>
      <c r="K230" s="13"/>
      <c r="L230" s="13"/>
      <c r="M230" s="13"/>
      <c r="N230" s="13"/>
      <c r="O230" s="13"/>
      <c r="P230" s="13"/>
    </row>
    <row r="231" spans="1:16" ht="12">
      <c r="A231" s="13"/>
      <c r="B231" s="13"/>
      <c r="C231" s="13"/>
      <c r="D231" s="13"/>
      <c r="E231" s="13"/>
      <c r="F231" s="13"/>
      <c r="G231" s="13"/>
      <c r="H231" s="13"/>
      <c r="I231" s="13"/>
      <c r="J231" s="13"/>
      <c r="K231" s="13"/>
      <c r="L231" s="13"/>
      <c r="M231" s="13"/>
      <c r="N231" s="13"/>
      <c r="O231" s="13"/>
      <c r="P231" s="13"/>
    </row>
    <row r="232" spans="1:16" ht="12">
      <c r="A232" s="13"/>
      <c r="B232" s="13"/>
      <c r="C232" s="13"/>
      <c r="D232" s="13"/>
      <c r="E232" s="13"/>
      <c r="F232" s="13"/>
      <c r="G232" s="13"/>
      <c r="H232" s="13"/>
      <c r="I232" s="13"/>
      <c r="J232" s="13"/>
      <c r="K232" s="13"/>
      <c r="L232" s="13"/>
      <c r="M232" s="13"/>
      <c r="N232" s="13"/>
      <c r="O232" s="13"/>
      <c r="P232" s="13"/>
    </row>
    <row r="233" spans="1:16" ht="12">
      <c r="A233" s="13"/>
      <c r="B233" s="13"/>
      <c r="C233" s="13"/>
      <c r="D233" s="13"/>
      <c r="E233" s="13"/>
      <c r="F233" s="13"/>
      <c r="G233" s="13"/>
      <c r="H233" s="13"/>
      <c r="I233" s="13"/>
      <c r="J233" s="13"/>
      <c r="K233" s="13"/>
      <c r="L233" s="13"/>
      <c r="M233" s="13"/>
      <c r="N233" s="13"/>
      <c r="O233" s="13"/>
      <c r="P233" s="13"/>
    </row>
    <row r="234" spans="1:16" ht="12">
      <c r="A234" s="13"/>
      <c r="B234" s="13"/>
      <c r="C234" s="13"/>
      <c r="D234" s="13"/>
      <c r="E234" s="13"/>
      <c r="F234" s="13"/>
      <c r="G234" s="13"/>
      <c r="H234" s="13"/>
      <c r="I234" s="13"/>
      <c r="J234" s="13"/>
      <c r="K234" s="13"/>
      <c r="L234" s="13"/>
      <c r="M234" s="13"/>
      <c r="N234" s="13"/>
      <c r="O234" s="13"/>
      <c r="P234" s="13"/>
    </row>
    <row r="235" spans="1:16" ht="12">
      <c r="A235" s="13"/>
      <c r="B235" s="13"/>
      <c r="C235" s="13"/>
      <c r="D235" s="13"/>
      <c r="E235" s="13"/>
      <c r="F235" s="13"/>
      <c r="G235" s="13"/>
      <c r="H235" s="13"/>
      <c r="I235" s="13"/>
      <c r="J235" s="13"/>
      <c r="K235" s="13"/>
      <c r="L235" s="13"/>
      <c r="M235" s="13"/>
      <c r="N235" s="13"/>
      <c r="O235" s="13"/>
      <c r="P235" s="13"/>
    </row>
    <row r="236" spans="1:16" ht="12">
      <c r="A236" s="13"/>
      <c r="B236" s="13"/>
      <c r="C236" s="13"/>
      <c r="D236" s="13"/>
      <c r="E236" s="13"/>
      <c r="F236" s="13"/>
      <c r="G236" s="13"/>
      <c r="H236" s="13"/>
      <c r="I236" s="13"/>
      <c r="J236" s="13"/>
      <c r="K236" s="13"/>
      <c r="L236" s="13"/>
      <c r="M236" s="13"/>
      <c r="N236" s="13"/>
      <c r="O236" s="13"/>
      <c r="P236" s="13"/>
    </row>
    <row r="237" spans="1:16" ht="12">
      <c r="A237" s="13"/>
      <c r="B237" s="13"/>
      <c r="C237" s="13"/>
      <c r="D237" s="13"/>
      <c r="E237" s="13"/>
      <c r="F237" s="13"/>
      <c r="G237" s="13"/>
      <c r="H237" s="13"/>
      <c r="I237" s="13"/>
      <c r="J237" s="13"/>
      <c r="K237" s="13"/>
      <c r="L237" s="13"/>
      <c r="M237" s="13"/>
      <c r="N237" s="13"/>
      <c r="O237" s="13"/>
      <c r="P237" s="13"/>
    </row>
    <row r="238" spans="1:16" ht="12">
      <c r="A238" s="13"/>
      <c r="B238" s="13"/>
      <c r="C238" s="13"/>
      <c r="D238" s="13"/>
      <c r="E238" s="13"/>
      <c r="F238" s="13"/>
      <c r="G238" s="13"/>
      <c r="H238" s="13"/>
      <c r="I238" s="13"/>
      <c r="J238" s="13"/>
      <c r="K238" s="13"/>
      <c r="L238" s="13"/>
      <c r="M238" s="13"/>
      <c r="N238" s="13"/>
      <c r="O238" s="13"/>
      <c r="P238" s="13"/>
    </row>
    <row r="239" spans="1:16" ht="12">
      <c r="A239" s="13"/>
      <c r="B239" s="13"/>
      <c r="C239" s="13"/>
      <c r="D239" s="13"/>
      <c r="E239" s="13"/>
      <c r="F239" s="13"/>
      <c r="G239" s="13"/>
      <c r="H239" s="13"/>
      <c r="I239" s="13"/>
      <c r="J239" s="13"/>
      <c r="K239" s="13"/>
      <c r="L239" s="13"/>
      <c r="M239" s="13"/>
      <c r="N239" s="13"/>
      <c r="O239" s="13"/>
      <c r="P239" s="13"/>
    </row>
    <row r="240" spans="1:16" ht="12">
      <c r="A240" s="13"/>
      <c r="B240" s="13"/>
      <c r="C240" s="13"/>
      <c r="D240" s="13"/>
      <c r="E240" s="13"/>
      <c r="F240" s="13"/>
      <c r="G240" s="13"/>
      <c r="H240" s="13"/>
      <c r="I240" s="13"/>
      <c r="J240" s="13"/>
      <c r="K240" s="13"/>
      <c r="L240" s="13"/>
      <c r="M240" s="13"/>
      <c r="N240" s="13"/>
      <c r="O240" s="13"/>
      <c r="P240" s="13"/>
    </row>
    <row r="241" spans="1:16" ht="12">
      <c r="A241" s="13"/>
      <c r="B241" s="13"/>
      <c r="C241" s="13"/>
      <c r="D241" s="13"/>
      <c r="E241" s="13"/>
      <c r="F241" s="13"/>
      <c r="G241" s="13"/>
      <c r="H241" s="13"/>
      <c r="I241" s="13"/>
      <c r="J241" s="13"/>
      <c r="K241" s="13"/>
      <c r="L241" s="13"/>
      <c r="M241" s="13"/>
      <c r="N241" s="13"/>
      <c r="O241" s="13"/>
      <c r="P241" s="13"/>
    </row>
    <row r="242" spans="1:16" ht="12">
      <c r="A242" s="13"/>
      <c r="B242" s="13"/>
      <c r="C242" s="13"/>
      <c r="D242" s="13"/>
      <c r="E242" s="13"/>
      <c r="F242" s="13"/>
      <c r="G242" s="13"/>
      <c r="H242" s="13"/>
      <c r="I242" s="13"/>
      <c r="J242" s="13"/>
      <c r="K242" s="13"/>
      <c r="L242" s="13"/>
      <c r="M242" s="13"/>
      <c r="N242" s="13"/>
      <c r="O242" s="13"/>
      <c r="P242" s="13"/>
    </row>
    <row r="243" spans="1:16" ht="12">
      <c r="A243" s="13"/>
      <c r="B243" s="13"/>
      <c r="C243" s="13"/>
      <c r="D243" s="13"/>
      <c r="E243" s="13"/>
      <c r="F243" s="13"/>
      <c r="G243" s="13"/>
      <c r="H243" s="13"/>
      <c r="I243" s="13"/>
      <c r="J243" s="13"/>
      <c r="K243" s="13"/>
      <c r="L243" s="13"/>
      <c r="M243" s="13"/>
      <c r="N243" s="13"/>
      <c r="O243" s="13"/>
      <c r="P243" s="13"/>
    </row>
    <row r="244" spans="1:16" ht="12">
      <c r="A244" s="13"/>
      <c r="B244" s="13"/>
      <c r="C244" s="13"/>
      <c r="D244" s="13"/>
      <c r="E244" s="13"/>
      <c r="F244" s="13"/>
      <c r="G244" s="13"/>
      <c r="H244" s="13"/>
      <c r="I244" s="13"/>
      <c r="J244" s="13"/>
      <c r="K244" s="13"/>
      <c r="L244" s="13"/>
      <c r="M244" s="13"/>
      <c r="N244" s="13"/>
      <c r="O244" s="13"/>
      <c r="P244" s="13"/>
    </row>
    <row r="245" spans="1:16" ht="12">
      <c r="A245" s="13"/>
      <c r="B245" s="13"/>
      <c r="C245" s="13"/>
      <c r="D245" s="13"/>
      <c r="E245" s="13"/>
      <c r="F245" s="13"/>
      <c r="G245" s="13"/>
      <c r="H245" s="13"/>
      <c r="I245" s="13"/>
      <c r="J245" s="13"/>
      <c r="K245" s="13"/>
      <c r="L245" s="13"/>
      <c r="M245" s="13"/>
      <c r="N245" s="13"/>
      <c r="O245" s="13"/>
      <c r="P245" s="13"/>
    </row>
    <row r="246" spans="1:16" ht="12">
      <c r="A246" s="13"/>
      <c r="B246" s="13"/>
      <c r="C246" s="13"/>
      <c r="D246" s="13"/>
      <c r="E246" s="13"/>
      <c r="F246" s="13"/>
      <c r="G246" s="13"/>
      <c r="H246" s="13"/>
      <c r="I246" s="13"/>
      <c r="J246" s="13"/>
      <c r="K246" s="13"/>
      <c r="L246" s="13"/>
      <c r="M246" s="13"/>
      <c r="N246" s="13"/>
      <c r="O246" s="13"/>
      <c r="P246" s="13"/>
    </row>
    <row r="247" spans="1:16" ht="12">
      <c r="A247" s="13"/>
      <c r="B247" s="13"/>
      <c r="C247" s="13"/>
      <c r="D247" s="13"/>
      <c r="E247" s="13"/>
      <c r="F247" s="13"/>
      <c r="G247" s="13"/>
      <c r="H247" s="13"/>
      <c r="I247" s="13"/>
      <c r="J247" s="13"/>
      <c r="K247" s="13"/>
      <c r="L247" s="13"/>
      <c r="M247" s="13"/>
      <c r="N247" s="13"/>
      <c r="O247" s="13"/>
      <c r="P247" s="13"/>
    </row>
    <row r="248" spans="1:16" ht="12">
      <c r="A248" s="13"/>
      <c r="B248" s="13"/>
      <c r="C248" s="13"/>
      <c r="D248" s="13"/>
      <c r="E248" s="13"/>
      <c r="F248" s="13"/>
      <c r="G248" s="13"/>
      <c r="H248" s="13"/>
      <c r="I248" s="13"/>
      <c r="J248" s="13"/>
      <c r="K248" s="13"/>
      <c r="L248" s="13"/>
      <c r="M248" s="13"/>
      <c r="N248" s="13"/>
      <c r="O248" s="13"/>
      <c r="P248" s="13"/>
    </row>
    <row r="249" spans="1:16" ht="12">
      <c r="A249" s="13"/>
      <c r="B249" s="13"/>
      <c r="C249" s="13"/>
      <c r="D249" s="13"/>
      <c r="E249" s="13"/>
      <c r="F249" s="13"/>
      <c r="G249" s="13"/>
      <c r="H249" s="13"/>
      <c r="I249" s="13"/>
      <c r="J249" s="13"/>
      <c r="K249" s="13"/>
      <c r="L249" s="13"/>
      <c r="M249" s="13"/>
      <c r="N249" s="13"/>
      <c r="O249" s="13"/>
      <c r="P249" s="13"/>
    </row>
    <row r="250" spans="1:16" ht="12">
      <c r="A250" s="13"/>
      <c r="B250" s="13"/>
      <c r="C250" s="13"/>
      <c r="D250" s="13"/>
      <c r="E250" s="13"/>
      <c r="F250" s="13"/>
      <c r="G250" s="13"/>
      <c r="H250" s="13"/>
      <c r="I250" s="13"/>
      <c r="J250" s="13"/>
      <c r="K250" s="13"/>
      <c r="L250" s="13"/>
      <c r="M250" s="13"/>
      <c r="N250" s="13"/>
      <c r="O250" s="13"/>
      <c r="P250" s="13"/>
    </row>
    <row r="251" spans="1:16" ht="12">
      <c r="A251" s="13"/>
      <c r="B251" s="13"/>
      <c r="C251" s="13"/>
      <c r="D251" s="13"/>
      <c r="E251" s="13"/>
      <c r="F251" s="13"/>
      <c r="G251" s="13"/>
      <c r="H251" s="13"/>
      <c r="I251" s="13"/>
      <c r="J251" s="13"/>
      <c r="K251" s="13"/>
      <c r="L251" s="13"/>
      <c r="M251" s="13"/>
      <c r="N251" s="13"/>
      <c r="O251" s="13"/>
      <c r="P251" s="13"/>
    </row>
    <row r="252" spans="1:16" ht="12">
      <c r="A252" s="13"/>
      <c r="B252" s="13"/>
      <c r="C252" s="13"/>
      <c r="D252" s="13"/>
      <c r="E252" s="13"/>
      <c r="F252" s="13"/>
      <c r="G252" s="13"/>
      <c r="H252" s="13"/>
      <c r="I252" s="13"/>
      <c r="J252" s="13"/>
      <c r="K252" s="13"/>
      <c r="L252" s="13"/>
      <c r="M252" s="13"/>
      <c r="N252" s="13"/>
      <c r="O252" s="13"/>
      <c r="P252" s="13"/>
    </row>
    <row r="253" spans="1:16" ht="12">
      <c r="A253" s="13"/>
      <c r="B253" s="13"/>
      <c r="C253" s="13"/>
      <c r="D253" s="13"/>
      <c r="E253" s="13"/>
      <c r="F253" s="13"/>
      <c r="G253" s="13"/>
      <c r="H253" s="13"/>
      <c r="I253" s="13"/>
      <c r="J253" s="13"/>
      <c r="K253" s="13"/>
      <c r="L253" s="13"/>
      <c r="M253" s="13"/>
      <c r="N253" s="13"/>
      <c r="O253" s="13"/>
      <c r="P253" s="13"/>
    </row>
    <row r="254" spans="1:16" ht="12">
      <c r="A254" s="13"/>
      <c r="B254" s="13"/>
      <c r="C254" s="13"/>
      <c r="D254" s="13"/>
      <c r="E254" s="13"/>
      <c r="F254" s="13"/>
      <c r="G254" s="13"/>
      <c r="H254" s="13"/>
      <c r="I254" s="13"/>
      <c r="J254" s="13"/>
      <c r="K254" s="13"/>
      <c r="L254" s="13"/>
      <c r="M254" s="13"/>
      <c r="N254" s="13"/>
      <c r="O254" s="13"/>
      <c r="P254" s="13"/>
    </row>
    <row r="255" spans="1:16" ht="12">
      <c r="A255" s="13"/>
      <c r="B255" s="13"/>
      <c r="C255" s="13"/>
      <c r="D255" s="13"/>
      <c r="E255" s="13"/>
      <c r="F255" s="13"/>
      <c r="G255" s="13"/>
      <c r="H255" s="13"/>
      <c r="I255" s="13"/>
      <c r="J255" s="13"/>
      <c r="K255" s="13"/>
      <c r="L255" s="13"/>
      <c r="M255" s="13"/>
      <c r="N255" s="13"/>
      <c r="O255" s="13"/>
      <c r="P255" s="13"/>
    </row>
    <row r="256" spans="1:16" ht="12">
      <c r="A256" s="13"/>
      <c r="B256" s="13"/>
      <c r="C256" s="13"/>
      <c r="D256" s="13"/>
      <c r="E256" s="13"/>
      <c r="F256" s="13"/>
      <c r="G256" s="13"/>
      <c r="H256" s="13"/>
      <c r="I256" s="13"/>
      <c r="J256" s="13"/>
      <c r="K256" s="13"/>
      <c r="L256" s="13"/>
      <c r="M256" s="13"/>
      <c r="N256" s="13"/>
      <c r="O256" s="13"/>
      <c r="P256" s="13"/>
    </row>
    <row r="257" spans="1:16" ht="12">
      <c r="A257" s="13"/>
      <c r="B257" s="13"/>
      <c r="C257" s="13"/>
      <c r="D257" s="13"/>
      <c r="E257" s="13"/>
      <c r="F257" s="13"/>
      <c r="G257" s="13"/>
      <c r="H257" s="13"/>
      <c r="I257" s="13"/>
      <c r="J257" s="13"/>
      <c r="K257" s="13"/>
      <c r="L257" s="13"/>
      <c r="M257" s="13"/>
      <c r="N257" s="13"/>
      <c r="O257" s="13"/>
      <c r="P257" s="13"/>
    </row>
    <row r="258" spans="1:16" ht="12">
      <c r="A258" s="13"/>
      <c r="B258" s="13"/>
      <c r="C258" s="13"/>
      <c r="D258" s="13"/>
      <c r="E258" s="13"/>
      <c r="F258" s="13"/>
      <c r="G258" s="13"/>
      <c r="H258" s="13"/>
      <c r="I258" s="13"/>
      <c r="J258" s="13"/>
      <c r="K258" s="13"/>
      <c r="L258" s="13"/>
      <c r="M258" s="13"/>
      <c r="N258" s="13"/>
      <c r="O258" s="13"/>
      <c r="P258" s="13"/>
    </row>
    <row r="259" spans="1:16" ht="12">
      <c r="A259" s="13"/>
      <c r="B259" s="13"/>
      <c r="C259" s="13"/>
      <c r="D259" s="13"/>
      <c r="E259" s="13"/>
      <c r="F259" s="13"/>
      <c r="G259" s="13"/>
      <c r="H259" s="13"/>
      <c r="I259" s="13"/>
      <c r="J259" s="13"/>
      <c r="K259" s="13"/>
      <c r="L259" s="13"/>
      <c r="M259" s="13"/>
      <c r="N259" s="13"/>
      <c r="O259" s="13"/>
      <c r="P259" s="13"/>
    </row>
    <row r="260" spans="1:16" ht="12">
      <c r="A260" s="13"/>
      <c r="B260" s="13"/>
      <c r="C260" s="13"/>
      <c r="D260" s="13"/>
      <c r="E260" s="13"/>
      <c r="F260" s="13"/>
      <c r="G260" s="13"/>
      <c r="H260" s="13"/>
      <c r="I260" s="13"/>
      <c r="J260" s="13"/>
      <c r="K260" s="13"/>
      <c r="L260" s="13"/>
      <c r="M260" s="13"/>
      <c r="N260" s="13"/>
      <c r="O260" s="13"/>
      <c r="P260" s="13"/>
    </row>
    <row r="261" spans="1:16" ht="12">
      <c r="A261" s="13"/>
      <c r="B261" s="13"/>
      <c r="C261" s="13"/>
      <c r="D261" s="13"/>
      <c r="E261" s="13"/>
      <c r="F261" s="13"/>
      <c r="G261" s="13"/>
      <c r="H261" s="13"/>
      <c r="I261" s="13"/>
      <c r="J261" s="13"/>
      <c r="K261" s="13"/>
      <c r="L261" s="13"/>
      <c r="M261" s="13"/>
      <c r="N261" s="13"/>
      <c r="O261" s="13"/>
      <c r="P261" s="13"/>
    </row>
    <row r="262" spans="1:16" ht="12">
      <c r="A262" s="13"/>
      <c r="B262" s="13"/>
      <c r="C262" s="13"/>
      <c r="D262" s="13"/>
      <c r="E262" s="13"/>
      <c r="F262" s="13"/>
      <c r="G262" s="13"/>
      <c r="H262" s="13"/>
      <c r="I262" s="13"/>
      <c r="J262" s="13"/>
      <c r="K262" s="13"/>
      <c r="L262" s="13"/>
      <c r="M262" s="13"/>
      <c r="N262" s="13"/>
      <c r="O262" s="13"/>
      <c r="P262" s="13"/>
    </row>
    <row r="263" spans="1:16" ht="12">
      <c r="A263" s="13"/>
      <c r="B263" s="13"/>
      <c r="C263" s="13"/>
      <c r="D263" s="13"/>
      <c r="E263" s="13"/>
      <c r="F263" s="13"/>
      <c r="G263" s="13"/>
      <c r="H263" s="13"/>
      <c r="I263" s="13"/>
      <c r="J263" s="13"/>
      <c r="K263" s="13"/>
      <c r="L263" s="13"/>
      <c r="M263" s="13"/>
      <c r="N263" s="13"/>
      <c r="O263" s="13"/>
      <c r="P263" s="13"/>
    </row>
    <row r="264" spans="1:16" ht="12">
      <c r="A264" s="13"/>
      <c r="B264" s="13"/>
      <c r="C264" s="13"/>
      <c r="D264" s="13"/>
      <c r="E264" s="13"/>
      <c r="F264" s="13"/>
      <c r="G264" s="13"/>
      <c r="H264" s="13"/>
      <c r="I264" s="13"/>
      <c r="J264" s="13"/>
      <c r="K264" s="13"/>
      <c r="L264" s="13"/>
      <c r="M264" s="13"/>
      <c r="N264" s="13"/>
      <c r="O264" s="13"/>
      <c r="P264" s="13"/>
    </row>
    <row r="265" spans="1:16" ht="12">
      <c r="A265" s="13"/>
      <c r="B265" s="13"/>
      <c r="C265" s="13"/>
      <c r="D265" s="13"/>
      <c r="E265" s="13"/>
      <c r="F265" s="13"/>
      <c r="G265" s="13"/>
      <c r="H265" s="13"/>
      <c r="I265" s="13"/>
      <c r="J265" s="13"/>
      <c r="K265" s="13"/>
      <c r="L265" s="13"/>
      <c r="M265" s="13"/>
      <c r="N265" s="13"/>
      <c r="O265" s="13"/>
      <c r="P265" s="13"/>
    </row>
    <row r="266" spans="1:16" ht="12">
      <c r="A266" s="13"/>
      <c r="B266" s="13"/>
      <c r="C266" s="13"/>
      <c r="D266" s="13"/>
      <c r="E266" s="13"/>
      <c r="F266" s="13"/>
      <c r="G266" s="13"/>
      <c r="H266" s="13"/>
      <c r="I266" s="13"/>
      <c r="J266" s="13"/>
      <c r="K266" s="13"/>
      <c r="L266" s="13"/>
      <c r="M266" s="13"/>
      <c r="N266" s="13"/>
      <c r="O266" s="13"/>
      <c r="P266" s="13"/>
    </row>
    <row r="267" spans="1:16" ht="12">
      <c r="A267" s="13"/>
      <c r="B267" s="13"/>
      <c r="C267" s="13"/>
      <c r="D267" s="13"/>
      <c r="E267" s="13"/>
      <c r="F267" s="13"/>
      <c r="G267" s="13"/>
      <c r="H267" s="13"/>
      <c r="I267" s="13"/>
      <c r="J267" s="13"/>
      <c r="K267" s="13"/>
      <c r="L267" s="13"/>
      <c r="M267" s="13"/>
      <c r="N267" s="13"/>
      <c r="O267" s="13"/>
      <c r="P267" s="13"/>
    </row>
    <row r="268" spans="1:16" ht="12">
      <c r="A268" s="13"/>
      <c r="B268" s="13"/>
      <c r="C268" s="13"/>
      <c r="D268" s="13"/>
      <c r="E268" s="13"/>
      <c r="F268" s="13"/>
      <c r="G268" s="13"/>
      <c r="H268" s="13"/>
      <c r="I268" s="13"/>
      <c r="J268" s="13"/>
      <c r="K268" s="13"/>
      <c r="L268" s="13"/>
      <c r="M268" s="13"/>
      <c r="N268" s="13"/>
      <c r="O268" s="13"/>
      <c r="P268" s="13"/>
    </row>
    <row r="269" spans="1:16" ht="12">
      <c r="A269" s="13"/>
      <c r="B269" s="13"/>
      <c r="C269" s="13"/>
      <c r="D269" s="13"/>
      <c r="E269" s="13"/>
      <c r="F269" s="13"/>
      <c r="G269" s="13"/>
      <c r="H269" s="13"/>
      <c r="I269" s="13"/>
      <c r="J269" s="13"/>
      <c r="K269" s="13"/>
      <c r="L269" s="13"/>
      <c r="M269" s="13"/>
      <c r="N269" s="13"/>
      <c r="O269" s="13"/>
      <c r="P269" s="13"/>
    </row>
    <row r="270" spans="1:16" ht="12">
      <c r="A270" s="13"/>
      <c r="B270" s="13"/>
      <c r="C270" s="13"/>
      <c r="D270" s="13"/>
      <c r="E270" s="13"/>
      <c r="F270" s="13"/>
      <c r="G270" s="13"/>
      <c r="H270" s="13"/>
      <c r="I270" s="13"/>
      <c r="J270" s="13"/>
      <c r="K270" s="13"/>
      <c r="L270" s="13"/>
      <c r="M270" s="13"/>
      <c r="N270" s="13"/>
      <c r="O270" s="13"/>
      <c r="P270" s="13"/>
    </row>
    <row r="271" spans="1:16" ht="12">
      <c r="A271" s="13"/>
      <c r="B271" s="13"/>
      <c r="C271" s="13"/>
      <c r="D271" s="13"/>
      <c r="E271" s="13"/>
      <c r="F271" s="13"/>
      <c r="G271" s="13"/>
      <c r="H271" s="13"/>
      <c r="I271" s="13"/>
      <c r="J271" s="13"/>
      <c r="K271" s="13"/>
      <c r="L271" s="13"/>
      <c r="M271" s="13"/>
      <c r="N271" s="13"/>
      <c r="O271" s="13"/>
      <c r="P271" s="13"/>
    </row>
    <row r="272" spans="1:16" ht="12">
      <c r="A272" s="13"/>
      <c r="B272" s="13"/>
      <c r="C272" s="13"/>
      <c r="D272" s="13"/>
      <c r="E272" s="13"/>
      <c r="F272" s="13"/>
      <c r="G272" s="13"/>
      <c r="H272" s="13"/>
      <c r="I272" s="13"/>
      <c r="J272" s="13"/>
      <c r="K272" s="13"/>
      <c r="L272" s="13"/>
      <c r="M272" s="13"/>
      <c r="N272" s="13"/>
      <c r="O272" s="13"/>
      <c r="P272" s="13"/>
    </row>
    <row r="273" spans="1:16" ht="12">
      <c r="A273" s="13"/>
      <c r="B273" s="13"/>
      <c r="C273" s="13"/>
      <c r="D273" s="13"/>
      <c r="E273" s="13"/>
      <c r="F273" s="13"/>
      <c r="G273" s="13"/>
      <c r="H273" s="13"/>
      <c r="I273" s="13"/>
      <c r="J273" s="13"/>
      <c r="K273" s="13"/>
      <c r="L273" s="13"/>
      <c r="M273" s="13"/>
      <c r="N273" s="13"/>
      <c r="O273" s="13"/>
      <c r="P273" s="13"/>
    </row>
    <row r="274" spans="1:16" ht="12">
      <c r="A274" s="13"/>
      <c r="B274" s="13"/>
      <c r="C274" s="13"/>
      <c r="D274" s="13"/>
      <c r="E274" s="13"/>
      <c r="F274" s="13"/>
      <c r="G274" s="13"/>
      <c r="H274" s="13"/>
      <c r="I274" s="13"/>
      <c r="J274" s="13"/>
      <c r="K274" s="13"/>
      <c r="L274" s="13"/>
      <c r="M274" s="13"/>
      <c r="N274" s="13"/>
      <c r="O274" s="13"/>
      <c r="P274" s="13"/>
    </row>
    <row r="275" spans="1:16" ht="12">
      <c r="A275" s="13"/>
      <c r="B275" s="13"/>
      <c r="C275" s="13"/>
      <c r="D275" s="13"/>
      <c r="E275" s="13"/>
      <c r="F275" s="13"/>
      <c r="G275" s="13"/>
      <c r="H275" s="13"/>
      <c r="I275" s="13"/>
      <c r="J275" s="13"/>
      <c r="K275" s="13"/>
      <c r="L275" s="13"/>
      <c r="M275" s="13"/>
      <c r="N275" s="13"/>
      <c r="O275" s="13"/>
      <c r="P275" s="13"/>
    </row>
    <row r="276" spans="1:16" ht="12">
      <c r="A276" s="13"/>
      <c r="B276" s="13"/>
      <c r="C276" s="13"/>
      <c r="D276" s="13"/>
      <c r="E276" s="13"/>
      <c r="F276" s="13"/>
      <c r="G276" s="13"/>
      <c r="H276" s="13"/>
      <c r="I276" s="13"/>
      <c r="J276" s="13"/>
      <c r="K276" s="13"/>
      <c r="L276" s="13"/>
      <c r="M276" s="13"/>
      <c r="N276" s="13"/>
      <c r="O276" s="13"/>
      <c r="P276" s="13"/>
    </row>
    <row r="277" spans="1:16" ht="12">
      <c r="A277" s="13"/>
      <c r="B277" s="13"/>
      <c r="C277" s="13"/>
      <c r="D277" s="13"/>
      <c r="E277" s="13"/>
      <c r="F277" s="13"/>
      <c r="G277" s="13"/>
      <c r="H277" s="13"/>
      <c r="I277" s="13"/>
      <c r="J277" s="13"/>
      <c r="K277" s="13"/>
      <c r="L277" s="13"/>
      <c r="M277" s="13"/>
      <c r="N277" s="13"/>
      <c r="O277" s="13"/>
      <c r="P277" s="13"/>
    </row>
    <row r="278" spans="1:16" ht="12">
      <c r="A278" s="13"/>
      <c r="B278" s="13"/>
      <c r="C278" s="13"/>
      <c r="D278" s="13"/>
      <c r="E278" s="13"/>
      <c r="F278" s="13"/>
      <c r="G278" s="13"/>
      <c r="H278" s="13"/>
      <c r="I278" s="13"/>
      <c r="J278" s="13"/>
      <c r="K278" s="13"/>
      <c r="L278" s="13"/>
      <c r="M278" s="13"/>
      <c r="N278" s="13"/>
      <c r="O278" s="13"/>
      <c r="P278" s="13"/>
    </row>
    <row r="279" spans="1:16" ht="12">
      <c r="A279" s="13"/>
      <c r="B279" s="13"/>
      <c r="C279" s="13"/>
      <c r="D279" s="13"/>
      <c r="E279" s="13"/>
      <c r="F279" s="13"/>
      <c r="G279" s="13"/>
      <c r="H279" s="13"/>
      <c r="I279" s="13"/>
      <c r="J279" s="13"/>
      <c r="K279" s="13"/>
      <c r="L279" s="13"/>
      <c r="M279" s="13"/>
      <c r="N279" s="13"/>
      <c r="O279" s="13"/>
      <c r="P279" s="13"/>
    </row>
    <row r="280" spans="1:16" ht="12">
      <c r="A280" s="13"/>
      <c r="B280" s="13"/>
      <c r="C280" s="13"/>
      <c r="D280" s="13"/>
      <c r="E280" s="13"/>
      <c r="F280" s="13"/>
      <c r="G280" s="13"/>
      <c r="H280" s="13"/>
      <c r="I280" s="13"/>
      <c r="J280" s="13"/>
      <c r="K280" s="13"/>
      <c r="L280" s="13"/>
      <c r="M280" s="13"/>
      <c r="N280" s="13"/>
      <c r="O280" s="13"/>
      <c r="P280" s="13"/>
    </row>
    <row r="281" spans="1:16" ht="12">
      <c r="A281" s="13"/>
      <c r="B281" s="13"/>
      <c r="C281" s="13"/>
      <c r="D281" s="13"/>
      <c r="E281" s="13"/>
      <c r="F281" s="13"/>
      <c r="G281" s="13"/>
      <c r="H281" s="13"/>
      <c r="I281" s="13"/>
      <c r="J281" s="13"/>
      <c r="K281" s="13"/>
      <c r="L281" s="13"/>
      <c r="M281" s="13"/>
      <c r="N281" s="13"/>
      <c r="O281" s="13"/>
      <c r="P281" s="13"/>
    </row>
    <row r="282" spans="1:16" ht="12">
      <c r="A282" s="13"/>
      <c r="B282" s="13"/>
      <c r="C282" s="13"/>
      <c r="D282" s="13"/>
      <c r="E282" s="13"/>
      <c r="F282" s="13"/>
      <c r="G282" s="13"/>
      <c r="H282" s="13"/>
      <c r="I282" s="13"/>
      <c r="J282" s="13"/>
      <c r="K282" s="13"/>
      <c r="L282" s="13"/>
      <c r="M282" s="13"/>
      <c r="N282" s="13"/>
      <c r="O282" s="13"/>
      <c r="P282" s="13"/>
    </row>
    <row r="283" spans="1:16" ht="12">
      <c r="A283" s="13"/>
      <c r="B283" s="13"/>
      <c r="C283" s="13"/>
      <c r="D283" s="13"/>
      <c r="E283" s="13"/>
      <c r="F283" s="13"/>
      <c r="G283" s="13"/>
      <c r="H283" s="13"/>
      <c r="I283" s="13"/>
      <c r="J283" s="13"/>
      <c r="K283" s="13"/>
      <c r="L283" s="13"/>
      <c r="M283" s="13"/>
      <c r="N283" s="13"/>
      <c r="O283" s="13"/>
      <c r="P283" s="13"/>
    </row>
    <row r="284" spans="1:16" ht="12">
      <c r="A284" s="13"/>
      <c r="B284" s="13"/>
      <c r="C284" s="13"/>
      <c r="D284" s="13"/>
      <c r="E284" s="13"/>
      <c r="F284" s="13"/>
      <c r="G284" s="13"/>
      <c r="H284" s="13"/>
      <c r="I284" s="13"/>
      <c r="J284" s="13"/>
      <c r="K284" s="13"/>
      <c r="L284" s="13"/>
      <c r="M284" s="13"/>
      <c r="N284" s="13"/>
      <c r="O284" s="13"/>
      <c r="P284" s="13"/>
    </row>
    <row r="285" spans="1:16" ht="12">
      <c r="A285" s="13"/>
      <c r="B285" s="13"/>
      <c r="C285" s="13"/>
      <c r="D285" s="13"/>
      <c r="E285" s="13"/>
      <c r="F285" s="13"/>
      <c r="G285" s="13"/>
      <c r="H285" s="13"/>
      <c r="I285" s="13"/>
      <c r="J285" s="13"/>
      <c r="K285" s="13"/>
      <c r="L285" s="13"/>
      <c r="M285" s="13"/>
      <c r="N285" s="13"/>
      <c r="O285" s="13"/>
      <c r="P285" s="13"/>
    </row>
    <row r="286" spans="1:16" ht="12">
      <c r="A286" s="13"/>
      <c r="B286" s="13"/>
      <c r="C286" s="13"/>
      <c r="D286" s="13"/>
      <c r="E286" s="13"/>
      <c r="F286" s="13"/>
      <c r="G286" s="13"/>
      <c r="H286" s="13"/>
      <c r="I286" s="13"/>
      <c r="J286" s="13"/>
      <c r="K286" s="13"/>
      <c r="L286" s="13"/>
      <c r="M286" s="13"/>
      <c r="N286" s="13"/>
      <c r="O286" s="13"/>
      <c r="P286" s="13"/>
    </row>
    <row r="287" spans="1:16" ht="12">
      <c r="A287" s="13"/>
      <c r="B287" s="13"/>
      <c r="C287" s="13"/>
      <c r="D287" s="13"/>
      <c r="E287" s="13"/>
      <c r="F287" s="13"/>
      <c r="G287" s="13"/>
      <c r="H287" s="13"/>
      <c r="I287" s="13"/>
      <c r="J287" s="13"/>
      <c r="K287" s="13"/>
      <c r="L287" s="13"/>
      <c r="M287" s="13"/>
      <c r="N287" s="13"/>
      <c r="O287" s="13"/>
      <c r="P287" s="13"/>
    </row>
    <row r="288" spans="1:16" ht="12">
      <c r="A288" s="13"/>
      <c r="B288" s="13"/>
      <c r="C288" s="13"/>
      <c r="D288" s="13"/>
      <c r="E288" s="13"/>
      <c r="F288" s="13"/>
      <c r="G288" s="13"/>
      <c r="H288" s="13"/>
      <c r="I288" s="13"/>
      <c r="J288" s="13"/>
      <c r="K288" s="13"/>
      <c r="L288" s="13"/>
      <c r="M288" s="13"/>
      <c r="N288" s="13"/>
      <c r="O288" s="13"/>
      <c r="P288" s="13"/>
    </row>
    <row r="289" spans="1:16" ht="12">
      <c r="A289" s="13"/>
      <c r="B289" s="13"/>
      <c r="C289" s="13"/>
      <c r="D289" s="13"/>
      <c r="E289" s="13"/>
      <c r="F289" s="13"/>
      <c r="G289" s="13"/>
      <c r="H289" s="13"/>
      <c r="I289" s="13"/>
      <c r="J289" s="13"/>
      <c r="K289" s="13"/>
      <c r="L289" s="13"/>
      <c r="M289" s="13"/>
      <c r="N289" s="13"/>
      <c r="O289" s="13"/>
      <c r="P289" s="13"/>
    </row>
    <row r="290" spans="1:16" ht="12">
      <c r="A290" s="13"/>
      <c r="B290" s="13"/>
      <c r="C290" s="13"/>
      <c r="D290" s="13"/>
      <c r="E290" s="13"/>
      <c r="F290" s="13"/>
      <c r="G290" s="13"/>
      <c r="H290" s="13"/>
      <c r="I290" s="13"/>
      <c r="J290" s="13"/>
      <c r="K290" s="13"/>
      <c r="L290" s="13"/>
      <c r="M290" s="13"/>
      <c r="N290" s="13"/>
      <c r="O290" s="13"/>
      <c r="P290" s="13"/>
    </row>
    <row r="291" spans="1:16" ht="12">
      <c r="A291" s="13"/>
      <c r="B291" s="13"/>
      <c r="C291" s="13"/>
      <c r="D291" s="13"/>
      <c r="E291" s="13"/>
      <c r="F291" s="13"/>
      <c r="G291" s="13"/>
      <c r="H291" s="13"/>
      <c r="I291" s="13"/>
      <c r="J291" s="13"/>
      <c r="K291" s="13"/>
      <c r="L291" s="13"/>
      <c r="M291" s="13"/>
      <c r="N291" s="13"/>
      <c r="O291" s="13"/>
      <c r="P291" s="13"/>
    </row>
    <row r="292" spans="1:16" ht="12">
      <c r="A292" s="13"/>
      <c r="B292" s="13"/>
      <c r="C292" s="13"/>
      <c r="D292" s="13"/>
      <c r="E292" s="13"/>
      <c r="F292" s="13"/>
      <c r="G292" s="13"/>
      <c r="H292" s="13"/>
      <c r="I292" s="13"/>
      <c r="J292" s="13"/>
      <c r="K292" s="13"/>
      <c r="L292" s="13"/>
      <c r="M292" s="13"/>
      <c r="N292" s="13"/>
      <c r="O292" s="13"/>
      <c r="P292" s="13"/>
    </row>
    <row r="293" spans="1:16" ht="12">
      <c r="A293" s="13"/>
      <c r="B293" s="13"/>
      <c r="C293" s="13"/>
      <c r="D293" s="13"/>
      <c r="E293" s="13"/>
      <c r="F293" s="13"/>
      <c r="G293" s="13"/>
      <c r="H293" s="13"/>
      <c r="I293" s="13"/>
      <c r="J293" s="13"/>
      <c r="K293" s="13"/>
      <c r="L293" s="13"/>
      <c r="M293" s="13"/>
      <c r="N293" s="13"/>
      <c r="O293" s="13"/>
      <c r="P293" s="13"/>
    </row>
    <row r="294" spans="1:16" ht="12">
      <c r="A294" s="13"/>
      <c r="B294" s="13"/>
      <c r="C294" s="13"/>
      <c r="D294" s="13"/>
      <c r="E294" s="13"/>
      <c r="F294" s="13"/>
      <c r="G294" s="13"/>
      <c r="H294" s="13"/>
      <c r="I294" s="13"/>
      <c r="J294" s="13"/>
      <c r="K294" s="13"/>
      <c r="L294" s="13"/>
      <c r="M294" s="13"/>
      <c r="N294" s="13"/>
      <c r="O294" s="13"/>
      <c r="P294" s="13"/>
    </row>
    <row r="295" spans="1:16" ht="12">
      <c r="A295" s="13"/>
      <c r="B295" s="13"/>
      <c r="C295" s="13"/>
      <c r="D295" s="13"/>
      <c r="E295" s="13"/>
      <c r="F295" s="13"/>
      <c r="G295" s="13"/>
      <c r="H295" s="13"/>
      <c r="I295" s="13"/>
      <c r="J295" s="13"/>
      <c r="K295" s="13"/>
      <c r="L295" s="13"/>
      <c r="M295" s="13"/>
      <c r="N295" s="13"/>
      <c r="O295" s="13"/>
      <c r="P295" s="13"/>
    </row>
    <row r="296" spans="1:16" ht="12">
      <c r="A296" s="13"/>
      <c r="B296" s="13"/>
      <c r="C296" s="13"/>
      <c r="D296" s="13"/>
      <c r="E296" s="13"/>
      <c r="F296" s="13"/>
      <c r="G296" s="13"/>
      <c r="H296" s="13"/>
      <c r="I296" s="13"/>
      <c r="J296" s="13"/>
      <c r="K296" s="13"/>
      <c r="L296" s="13"/>
      <c r="M296" s="13"/>
      <c r="N296" s="13"/>
      <c r="O296" s="13"/>
      <c r="P296" s="13"/>
    </row>
    <row r="297" spans="1:16" ht="12">
      <c r="A297" s="13"/>
      <c r="B297" s="13"/>
      <c r="C297" s="13"/>
      <c r="D297" s="13"/>
      <c r="E297" s="13"/>
      <c r="F297" s="13"/>
      <c r="G297" s="13"/>
      <c r="H297" s="13"/>
      <c r="I297" s="13"/>
      <c r="J297" s="13"/>
      <c r="K297" s="13"/>
      <c r="L297" s="13"/>
      <c r="M297" s="13"/>
      <c r="N297" s="13"/>
      <c r="O297" s="13"/>
      <c r="P297" s="13"/>
    </row>
    <row r="298" spans="1:16" ht="12">
      <c r="A298" s="13"/>
      <c r="B298" s="13"/>
      <c r="C298" s="13"/>
      <c r="D298" s="13"/>
      <c r="E298" s="13"/>
      <c r="F298" s="13"/>
      <c r="G298" s="13"/>
      <c r="H298" s="13"/>
      <c r="I298" s="13"/>
      <c r="J298" s="13"/>
      <c r="K298" s="13"/>
      <c r="L298" s="13"/>
      <c r="M298" s="13"/>
      <c r="N298" s="13"/>
      <c r="O298" s="13"/>
      <c r="P298" s="13"/>
    </row>
    <row r="299" spans="1:16" ht="12">
      <c r="A299" s="13"/>
      <c r="B299" s="13"/>
      <c r="C299" s="13"/>
      <c r="D299" s="13"/>
      <c r="E299" s="13"/>
      <c r="F299" s="13"/>
      <c r="G299" s="13"/>
      <c r="H299" s="13"/>
      <c r="I299" s="13"/>
      <c r="J299" s="13"/>
      <c r="K299" s="13"/>
      <c r="L299" s="13"/>
      <c r="M299" s="13"/>
      <c r="N299" s="13"/>
      <c r="O299" s="13"/>
      <c r="P299" s="13"/>
    </row>
    <row r="300" spans="1:16" ht="12">
      <c r="A300" s="13"/>
      <c r="B300" s="13"/>
      <c r="C300" s="13"/>
      <c r="D300" s="13"/>
      <c r="E300" s="13"/>
      <c r="F300" s="13"/>
      <c r="G300" s="13"/>
      <c r="H300" s="13"/>
      <c r="I300" s="13"/>
      <c r="J300" s="13"/>
      <c r="K300" s="13"/>
      <c r="L300" s="13"/>
      <c r="M300" s="13"/>
      <c r="N300" s="13"/>
      <c r="O300" s="13"/>
      <c r="P300" s="13"/>
    </row>
    <row r="301" spans="1:16" ht="12">
      <c r="A301" s="13"/>
      <c r="B301" s="13"/>
      <c r="C301" s="13"/>
      <c r="D301" s="13"/>
      <c r="E301" s="13"/>
      <c r="F301" s="13"/>
      <c r="G301" s="13"/>
      <c r="H301" s="13"/>
      <c r="I301" s="13"/>
      <c r="J301" s="13"/>
      <c r="K301" s="13"/>
      <c r="L301" s="13"/>
      <c r="M301" s="13"/>
      <c r="N301" s="13"/>
      <c r="O301" s="13"/>
      <c r="P301" s="13"/>
    </row>
    <row r="302" spans="1:16" ht="12">
      <c r="A302" s="13"/>
      <c r="B302" s="13"/>
      <c r="C302" s="13"/>
      <c r="D302" s="13"/>
      <c r="E302" s="13"/>
      <c r="F302" s="13"/>
      <c r="G302" s="13"/>
      <c r="H302" s="13"/>
      <c r="I302" s="13"/>
      <c r="J302" s="13"/>
      <c r="K302" s="13"/>
      <c r="L302" s="13"/>
      <c r="M302" s="13"/>
      <c r="N302" s="13"/>
      <c r="O302" s="13"/>
      <c r="P302" s="13"/>
    </row>
    <row r="303" spans="1:16" ht="12">
      <c r="A303" s="13"/>
      <c r="B303" s="13"/>
      <c r="C303" s="13"/>
      <c r="D303" s="13"/>
      <c r="E303" s="13"/>
      <c r="F303" s="13"/>
      <c r="G303" s="13"/>
      <c r="H303" s="13"/>
      <c r="I303" s="13"/>
      <c r="J303" s="13"/>
      <c r="K303" s="13"/>
      <c r="L303" s="13"/>
      <c r="M303" s="13"/>
      <c r="N303" s="13"/>
      <c r="O303" s="13"/>
      <c r="P303" s="13"/>
    </row>
    <row r="304" spans="1:16" ht="12">
      <c r="A304" s="13"/>
      <c r="B304" s="13"/>
      <c r="C304" s="13"/>
      <c r="D304" s="13"/>
      <c r="E304" s="13"/>
      <c r="F304" s="13"/>
      <c r="G304" s="13"/>
      <c r="H304" s="13"/>
      <c r="I304" s="13"/>
      <c r="J304" s="13"/>
      <c r="K304" s="13"/>
      <c r="L304" s="13"/>
      <c r="M304" s="13"/>
      <c r="N304" s="13"/>
      <c r="O304" s="13"/>
      <c r="P304" s="13"/>
    </row>
    <row r="305" spans="1:16" ht="12">
      <c r="A305" s="13"/>
      <c r="B305" s="13"/>
      <c r="C305" s="13"/>
      <c r="D305" s="13"/>
      <c r="E305" s="13"/>
      <c r="F305" s="13"/>
      <c r="G305" s="13"/>
      <c r="H305" s="13"/>
      <c r="I305" s="13"/>
      <c r="J305" s="13"/>
      <c r="K305" s="13"/>
      <c r="L305" s="13"/>
      <c r="M305" s="13"/>
      <c r="N305" s="13"/>
      <c r="O305" s="13"/>
      <c r="P305" s="13"/>
    </row>
    <row r="306" spans="1:16" ht="12">
      <c r="A306" s="13"/>
      <c r="B306" s="13"/>
      <c r="C306" s="13"/>
      <c r="D306" s="13"/>
      <c r="E306" s="13"/>
      <c r="F306" s="13"/>
      <c r="G306" s="13"/>
      <c r="H306" s="13"/>
      <c r="I306" s="13"/>
      <c r="J306" s="13"/>
      <c r="K306" s="13"/>
      <c r="L306" s="13"/>
      <c r="M306" s="13"/>
      <c r="N306" s="13"/>
      <c r="O306" s="13"/>
      <c r="P306" s="13"/>
    </row>
    <row r="307" spans="1:16" ht="12">
      <c r="A307" s="13"/>
      <c r="B307" s="13"/>
      <c r="C307" s="13"/>
      <c r="D307" s="13"/>
      <c r="E307" s="13"/>
      <c r="F307" s="13"/>
      <c r="G307" s="13"/>
      <c r="H307" s="13"/>
      <c r="I307" s="13"/>
      <c r="J307" s="13"/>
      <c r="K307" s="13"/>
      <c r="L307" s="13"/>
      <c r="M307" s="13"/>
      <c r="N307" s="13"/>
      <c r="O307" s="13"/>
      <c r="P307" s="13"/>
    </row>
    <row r="308" spans="1:16" ht="12">
      <c r="A308" s="13"/>
      <c r="B308" s="13"/>
      <c r="C308" s="13"/>
      <c r="D308" s="13"/>
      <c r="E308" s="13"/>
      <c r="F308" s="13"/>
      <c r="G308" s="13"/>
      <c r="H308" s="13"/>
      <c r="I308" s="13"/>
      <c r="J308" s="13"/>
      <c r="K308" s="13"/>
      <c r="L308" s="13"/>
      <c r="M308" s="13"/>
      <c r="N308" s="13"/>
      <c r="O308" s="13"/>
      <c r="P308" s="13"/>
    </row>
    <row r="309" spans="1:16" ht="12">
      <c r="A309" s="13"/>
      <c r="B309" s="13"/>
      <c r="C309" s="13"/>
      <c r="D309" s="13"/>
      <c r="E309" s="13"/>
      <c r="F309" s="13"/>
      <c r="G309" s="13"/>
      <c r="H309" s="13"/>
      <c r="I309" s="13"/>
      <c r="J309" s="13"/>
      <c r="K309" s="13"/>
      <c r="L309" s="13"/>
      <c r="M309" s="13"/>
      <c r="N309" s="13"/>
      <c r="O309" s="13"/>
      <c r="P309" s="13"/>
    </row>
    <row r="310" spans="1:16" ht="12">
      <c r="A310" s="13"/>
      <c r="B310" s="13"/>
      <c r="C310" s="13"/>
      <c r="D310" s="13"/>
      <c r="E310" s="13"/>
      <c r="F310" s="13"/>
      <c r="G310" s="13"/>
      <c r="H310" s="13"/>
      <c r="I310" s="13"/>
      <c r="J310" s="13"/>
      <c r="K310" s="13"/>
      <c r="L310" s="13"/>
      <c r="M310" s="13"/>
      <c r="N310" s="13"/>
      <c r="O310" s="13"/>
      <c r="P310" s="13"/>
    </row>
    <row r="311" spans="1:16" ht="12">
      <c r="A311" s="13"/>
      <c r="B311" s="13"/>
      <c r="C311" s="13"/>
      <c r="D311" s="13"/>
      <c r="E311" s="13"/>
      <c r="F311" s="13"/>
      <c r="G311" s="13"/>
      <c r="H311" s="13"/>
      <c r="I311" s="13"/>
      <c r="J311" s="13"/>
      <c r="K311" s="13"/>
      <c r="L311" s="13"/>
      <c r="M311" s="13"/>
      <c r="N311" s="13"/>
      <c r="O311" s="13"/>
      <c r="P311" s="13"/>
    </row>
    <row r="312" spans="1:16" ht="12">
      <c r="A312" s="13"/>
      <c r="B312" s="13"/>
      <c r="C312" s="13"/>
      <c r="D312" s="13"/>
      <c r="E312" s="13"/>
      <c r="F312" s="13"/>
      <c r="G312" s="13"/>
      <c r="H312" s="13"/>
      <c r="I312" s="13"/>
      <c r="J312" s="13"/>
      <c r="K312" s="13"/>
      <c r="L312" s="13"/>
      <c r="M312" s="13"/>
      <c r="N312" s="13"/>
      <c r="O312" s="13"/>
      <c r="P312" s="13"/>
    </row>
    <row r="313" spans="1:16" ht="12">
      <c r="A313" s="13"/>
      <c r="B313" s="13"/>
      <c r="C313" s="13"/>
      <c r="D313" s="13"/>
      <c r="E313" s="13"/>
      <c r="F313" s="13"/>
      <c r="G313" s="13"/>
      <c r="H313" s="13"/>
      <c r="I313" s="13"/>
      <c r="J313" s="13"/>
      <c r="K313" s="13"/>
      <c r="L313" s="13"/>
      <c r="M313" s="13"/>
      <c r="N313" s="13"/>
      <c r="O313" s="13"/>
      <c r="P313" s="13"/>
    </row>
    <row r="314" spans="1:16" ht="12">
      <c r="A314" s="13"/>
      <c r="B314" s="13"/>
      <c r="C314" s="13"/>
      <c r="D314" s="13"/>
      <c r="E314" s="13"/>
      <c r="F314" s="13"/>
      <c r="G314" s="13"/>
      <c r="H314" s="13"/>
      <c r="I314" s="13"/>
      <c r="J314" s="13"/>
      <c r="K314" s="13"/>
      <c r="L314" s="13"/>
      <c r="M314" s="13"/>
      <c r="N314" s="13"/>
      <c r="O314" s="13"/>
      <c r="P314" s="13"/>
    </row>
    <row r="315" spans="1:16" ht="12">
      <c r="A315" s="13"/>
      <c r="B315" s="13"/>
      <c r="C315" s="13"/>
      <c r="D315" s="13"/>
      <c r="E315" s="13"/>
      <c r="F315" s="13"/>
      <c r="G315" s="13"/>
      <c r="H315" s="13"/>
      <c r="I315" s="13"/>
      <c r="J315" s="13"/>
      <c r="K315" s="13"/>
      <c r="L315" s="13"/>
      <c r="M315" s="13"/>
      <c r="N315" s="13"/>
      <c r="O315" s="13"/>
      <c r="P315" s="13"/>
    </row>
    <row r="316" spans="1:16" ht="12">
      <c r="A316" s="13"/>
      <c r="B316" s="13"/>
      <c r="C316" s="13"/>
      <c r="D316" s="13"/>
      <c r="E316" s="13"/>
      <c r="F316" s="13"/>
      <c r="G316" s="13"/>
      <c r="H316" s="13"/>
      <c r="I316" s="13"/>
      <c r="J316" s="13"/>
      <c r="K316" s="13"/>
      <c r="L316" s="13"/>
      <c r="M316" s="13"/>
      <c r="N316" s="13"/>
      <c r="O316" s="13"/>
      <c r="P316" s="13"/>
    </row>
    <row r="317" spans="1:16" ht="12">
      <c r="A317" s="13"/>
      <c r="B317" s="13"/>
      <c r="C317" s="13"/>
      <c r="D317" s="13"/>
      <c r="E317" s="13"/>
      <c r="F317" s="13"/>
      <c r="G317" s="13"/>
      <c r="H317" s="13"/>
      <c r="I317" s="13"/>
      <c r="J317" s="13"/>
      <c r="K317" s="13"/>
      <c r="L317" s="13"/>
      <c r="M317" s="13"/>
      <c r="N317" s="13"/>
      <c r="O317" s="13"/>
      <c r="P317" s="13"/>
    </row>
    <row r="318" spans="1:16" ht="12">
      <c r="A318" s="13"/>
      <c r="B318" s="13"/>
      <c r="C318" s="13"/>
      <c r="D318" s="13"/>
      <c r="E318" s="13"/>
      <c r="F318" s="13"/>
      <c r="G318" s="13"/>
      <c r="H318" s="13"/>
      <c r="I318" s="13"/>
      <c r="J318" s="13"/>
      <c r="K318" s="13"/>
      <c r="L318" s="13"/>
      <c r="M318" s="13"/>
      <c r="N318" s="13"/>
      <c r="O318" s="13"/>
      <c r="P318" s="13"/>
    </row>
    <row r="319" spans="1:16" ht="12">
      <c r="A319" s="13"/>
      <c r="B319" s="13"/>
      <c r="C319" s="13"/>
      <c r="D319" s="13"/>
      <c r="E319" s="13"/>
      <c r="F319" s="13"/>
      <c r="G319" s="13"/>
      <c r="H319" s="13"/>
      <c r="I319" s="13"/>
      <c r="J319" s="13"/>
      <c r="K319" s="13"/>
      <c r="L319" s="13"/>
      <c r="M319" s="13"/>
      <c r="N319" s="13"/>
      <c r="O319" s="13"/>
      <c r="P319" s="13"/>
    </row>
    <row r="320" spans="1:16" ht="12">
      <c r="A320" s="13"/>
      <c r="B320" s="13"/>
      <c r="C320" s="13"/>
      <c r="D320" s="13"/>
      <c r="E320" s="13"/>
      <c r="F320" s="13"/>
      <c r="G320" s="13"/>
      <c r="H320" s="13"/>
      <c r="I320" s="13"/>
      <c r="J320" s="13"/>
      <c r="K320" s="13"/>
      <c r="L320" s="13"/>
      <c r="M320" s="13"/>
      <c r="N320" s="13"/>
      <c r="O320" s="13"/>
      <c r="P320" s="13"/>
    </row>
    <row r="321" spans="1:16" ht="12">
      <c r="A321" s="13"/>
      <c r="B321" s="13"/>
      <c r="C321" s="13"/>
      <c r="D321" s="13"/>
      <c r="E321" s="13"/>
      <c r="F321" s="13"/>
      <c r="G321" s="13"/>
      <c r="H321" s="13"/>
      <c r="I321" s="13"/>
      <c r="J321" s="13"/>
      <c r="K321" s="13"/>
      <c r="L321" s="13"/>
      <c r="M321" s="13"/>
      <c r="N321" s="13"/>
      <c r="O321" s="13"/>
      <c r="P321" s="13"/>
    </row>
    <row r="322" spans="1:16" ht="12">
      <c r="A322" s="13"/>
      <c r="B322" s="13"/>
      <c r="C322" s="13"/>
      <c r="D322" s="13"/>
      <c r="E322" s="13"/>
      <c r="F322" s="13"/>
      <c r="G322" s="13"/>
      <c r="H322" s="13"/>
      <c r="I322" s="13"/>
      <c r="J322" s="13"/>
      <c r="K322" s="13"/>
      <c r="L322" s="13"/>
      <c r="M322" s="13"/>
      <c r="N322" s="13"/>
      <c r="O322" s="13"/>
      <c r="P322" s="13"/>
    </row>
    <row r="323" spans="1:16" ht="12">
      <c r="A323" s="13"/>
      <c r="B323" s="13"/>
      <c r="C323" s="13"/>
      <c r="D323" s="13"/>
      <c r="E323" s="13"/>
      <c r="F323" s="13"/>
      <c r="G323" s="13"/>
      <c r="H323" s="13"/>
      <c r="I323" s="13"/>
      <c r="J323" s="13"/>
      <c r="K323" s="13"/>
      <c r="L323" s="13"/>
      <c r="M323" s="13"/>
      <c r="N323" s="13"/>
      <c r="O323" s="13"/>
      <c r="P323" s="13"/>
    </row>
    <row r="324" spans="1:16" ht="12">
      <c r="A324" s="13"/>
      <c r="B324" s="13"/>
      <c r="C324" s="13"/>
      <c r="D324" s="13"/>
      <c r="E324" s="13"/>
      <c r="F324" s="13"/>
      <c r="G324" s="13"/>
      <c r="H324" s="13"/>
      <c r="I324" s="13"/>
      <c r="J324" s="13"/>
      <c r="K324" s="13"/>
      <c r="L324" s="13"/>
      <c r="M324" s="13"/>
      <c r="N324" s="13"/>
      <c r="O324" s="13"/>
      <c r="P324" s="13"/>
    </row>
    <row r="325" spans="1:16" ht="12">
      <c r="A325" s="13"/>
      <c r="B325" s="13"/>
      <c r="C325" s="13"/>
      <c r="D325" s="13"/>
      <c r="E325" s="13"/>
      <c r="F325" s="13"/>
      <c r="G325" s="13"/>
      <c r="H325" s="13"/>
      <c r="I325" s="13"/>
      <c r="J325" s="13"/>
      <c r="K325" s="13"/>
      <c r="L325" s="13"/>
      <c r="M325" s="13"/>
      <c r="N325" s="13"/>
      <c r="O325" s="13"/>
      <c r="P325" s="13"/>
    </row>
    <row r="326" spans="1:16" ht="12">
      <c r="A326" s="13"/>
      <c r="B326" s="13"/>
      <c r="C326" s="13"/>
      <c r="D326" s="13"/>
      <c r="E326" s="13"/>
      <c r="F326" s="13"/>
      <c r="G326" s="13"/>
      <c r="H326" s="13"/>
      <c r="I326" s="13"/>
      <c r="J326" s="13"/>
      <c r="K326" s="13"/>
      <c r="L326" s="13"/>
      <c r="M326" s="13"/>
      <c r="N326" s="13"/>
      <c r="O326" s="13"/>
      <c r="P326" s="13"/>
    </row>
    <row r="327" spans="1:16" ht="12">
      <c r="A327" s="13"/>
      <c r="B327" s="13"/>
      <c r="C327" s="13"/>
      <c r="D327" s="13"/>
      <c r="E327" s="13"/>
      <c r="F327" s="13"/>
      <c r="G327" s="13"/>
      <c r="H327" s="13"/>
      <c r="I327" s="13"/>
      <c r="J327" s="13"/>
      <c r="K327" s="13"/>
      <c r="L327" s="13"/>
      <c r="M327" s="13"/>
      <c r="N327" s="13"/>
      <c r="O327" s="13"/>
      <c r="P327" s="13"/>
    </row>
    <row r="328" spans="1:16" ht="12">
      <c r="A328" s="13"/>
      <c r="B328" s="13"/>
      <c r="C328" s="13"/>
      <c r="D328" s="13"/>
      <c r="E328" s="13"/>
      <c r="F328" s="13"/>
      <c r="G328" s="13"/>
      <c r="H328" s="13"/>
      <c r="I328" s="13"/>
      <c r="J328" s="13"/>
      <c r="K328" s="13"/>
      <c r="L328" s="13"/>
      <c r="M328" s="13"/>
      <c r="N328" s="13"/>
      <c r="O328" s="13"/>
      <c r="P328" s="13"/>
    </row>
    <row r="329" spans="1:16" ht="12">
      <c r="A329" s="13"/>
      <c r="B329" s="13"/>
      <c r="C329" s="13"/>
      <c r="D329" s="13"/>
      <c r="E329" s="13"/>
      <c r="F329" s="13"/>
      <c r="G329" s="13"/>
      <c r="H329" s="13"/>
      <c r="I329" s="13"/>
      <c r="J329" s="13"/>
      <c r="K329" s="13"/>
      <c r="L329" s="13"/>
      <c r="M329" s="13"/>
      <c r="N329" s="13"/>
      <c r="O329" s="13"/>
      <c r="P329" s="13"/>
    </row>
    <row r="330" spans="1:16" ht="12">
      <c r="A330" s="13"/>
      <c r="B330" s="13"/>
      <c r="C330" s="13"/>
      <c r="D330" s="13"/>
      <c r="E330" s="13"/>
      <c r="F330" s="13"/>
      <c r="G330" s="13"/>
      <c r="H330" s="13"/>
      <c r="I330" s="13"/>
      <c r="J330" s="13"/>
      <c r="K330" s="13"/>
      <c r="L330" s="13"/>
      <c r="M330" s="13"/>
      <c r="N330" s="13"/>
      <c r="O330" s="13"/>
      <c r="P330" s="13"/>
    </row>
    <row r="331" spans="1:16" ht="12">
      <c r="A331" s="13"/>
      <c r="B331" s="13"/>
      <c r="C331" s="13"/>
      <c r="D331" s="13"/>
      <c r="E331" s="13"/>
      <c r="F331" s="13"/>
      <c r="G331" s="13"/>
      <c r="H331" s="13"/>
      <c r="I331" s="13"/>
      <c r="J331" s="13"/>
      <c r="K331" s="13"/>
      <c r="L331" s="13"/>
      <c r="M331" s="13"/>
      <c r="N331" s="13"/>
      <c r="O331" s="13"/>
      <c r="P331" s="13"/>
    </row>
    <row r="332" spans="1:16" ht="12">
      <c r="A332" s="13"/>
      <c r="B332" s="13"/>
      <c r="C332" s="13"/>
      <c r="D332" s="13"/>
      <c r="E332" s="13"/>
      <c r="F332" s="13"/>
      <c r="G332" s="13"/>
      <c r="H332" s="13"/>
      <c r="I332" s="13"/>
      <c r="J332" s="13"/>
      <c r="K332" s="13"/>
      <c r="L332" s="13"/>
      <c r="M332" s="13"/>
      <c r="N332" s="13"/>
      <c r="O332" s="13"/>
      <c r="P332" s="13"/>
    </row>
    <row r="333" spans="1:16" ht="12">
      <c r="A333" s="13"/>
      <c r="B333" s="13"/>
      <c r="C333" s="13"/>
      <c r="D333" s="13"/>
      <c r="E333" s="13"/>
      <c r="F333" s="13"/>
      <c r="G333" s="13"/>
      <c r="H333" s="13"/>
      <c r="I333" s="13"/>
      <c r="J333" s="13"/>
      <c r="K333" s="13"/>
      <c r="L333" s="13"/>
      <c r="M333" s="13"/>
      <c r="N333" s="13"/>
      <c r="O333" s="13"/>
      <c r="P333" s="13"/>
    </row>
    <row r="334" spans="1:16" ht="12">
      <c r="A334" s="13"/>
      <c r="B334" s="13"/>
      <c r="C334" s="13"/>
      <c r="D334" s="13"/>
      <c r="E334" s="13"/>
      <c r="F334" s="13"/>
      <c r="G334" s="13"/>
      <c r="H334" s="13"/>
      <c r="I334" s="13"/>
      <c r="J334" s="13"/>
      <c r="K334" s="13"/>
      <c r="L334" s="13"/>
      <c r="M334" s="13"/>
      <c r="N334" s="13"/>
      <c r="O334" s="13"/>
      <c r="P334" s="13"/>
    </row>
    <row r="335" spans="1:16" ht="12">
      <c r="A335" s="13"/>
      <c r="B335" s="13"/>
      <c r="C335" s="13"/>
      <c r="D335" s="13"/>
      <c r="E335" s="13"/>
      <c r="F335" s="13"/>
      <c r="G335" s="13"/>
      <c r="H335" s="13"/>
      <c r="I335" s="13"/>
      <c r="J335" s="13"/>
      <c r="K335" s="13"/>
      <c r="L335" s="13"/>
      <c r="M335" s="13"/>
      <c r="N335" s="13"/>
      <c r="O335" s="13"/>
      <c r="P335" s="13"/>
    </row>
    <row r="336" spans="1:16" ht="12">
      <c r="A336" s="13"/>
      <c r="B336" s="13"/>
      <c r="C336" s="13"/>
      <c r="D336" s="13"/>
      <c r="E336" s="13"/>
      <c r="F336" s="13"/>
      <c r="G336" s="13"/>
      <c r="H336" s="13"/>
      <c r="I336" s="13"/>
      <c r="J336" s="13"/>
      <c r="K336" s="13"/>
      <c r="L336" s="13"/>
      <c r="M336" s="13"/>
      <c r="N336" s="13"/>
      <c r="O336" s="13"/>
      <c r="P336" s="13"/>
    </row>
    <row r="337" spans="1:16" ht="12">
      <c r="A337" s="13"/>
      <c r="B337" s="13"/>
      <c r="C337" s="13"/>
      <c r="D337" s="13"/>
      <c r="E337" s="13"/>
      <c r="F337" s="13"/>
      <c r="G337" s="13"/>
      <c r="H337" s="13"/>
      <c r="I337" s="13"/>
      <c r="J337" s="13"/>
      <c r="K337" s="13"/>
      <c r="L337" s="13"/>
      <c r="M337" s="13"/>
      <c r="N337" s="13"/>
      <c r="O337" s="13"/>
      <c r="P337" s="13"/>
    </row>
    <row r="338" spans="1:16" ht="12">
      <c r="A338" s="13"/>
      <c r="B338" s="13"/>
      <c r="C338" s="13"/>
      <c r="D338" s="13"/>
      <c r="E338" s="13"/>
      <c r="F338" s="13"/>
      <c r="G338" s="13"/>
      <c r="H338" s="13"/>
      <c r="I338" s="13"/>
      <c r="J338" s="13"/>
      <c r="K338" s="13"/>
      <c r="L338" s="13"/>
      <c r="M338" s="13"/>
      <c r="N338" s="13"/>
      <c r="O338" s="13"/>
      <c r="P338" s="13"/>
    </row>
    <row r="339" spans="1:16" ht="12">
      <c r="A339" s="13"/>
      <c r="B339" s="13"/>
      <c r="C339" s="13"/>
      <c r="D339" s="13"/>
      <c r="E339" s="13"/>
      <c r="F339" s="13"/>
      <c r="G339" s="13"/>
      <c r="H339" s="13"/>
      <c r="I339" s="13"/>
      <c r="J339" s="13"/>
      <c r="K339" s="13"/>
      <c r="L339" s="13"/>
      <c r="M339" s="13"/>
      <c r="N339" s="13"/>
      <c r="O339" s="13"/>
      <c r="P339" s="13"/>
    </row>
    <row r="340" spans="1:16" ht="12">
      <c r="A340" s="13"/>
      <c r="B340" s="13"/>
      <c r="C340" s="13"/>
      <c r="D340" s="13"/>
      <c r="E340" s="13"/>
      <c r="F340" s="13"/>
      <c r="G340" s="13"/>
      <c r="H340" s="13"/>
      <c r="I340" s="13"/>
      <c r="J340" s="13"/>
      <c r="K340" s="13"/>
      <c r="L340" s="13"/>
      <c r="M340" s="13"/>
      <c r="N340" s="13"/>
      <c r="O340" s="13"/>
      <c r="P340" s="13"/>
    </row>
    <row r="341" spans="1:16" ht="12">
      <c r="A341" s="13"/>
      <c r="B341" s="13"/>
      <c r="C341" s="13"/>
      <c r="D341" s="13"/>
      <c r="E341" s="13"/>
      <c r="F341" s="13"/>
      <c r="G341" s="13"/>
      <c r="H341" s="13"/>
      <c r="I341" s="13"/>
      <c r="J341" s="13"/>
      <c r="K341" s="13"/>
      <c r="L341" s="13"/>
      <c r="M341" s="13"/>
      <c r="N341" s="13"/>
      <c r="O341" s="13"/>
      <c r="P341" s="13"/>
    </row>
    <row r="342" spans="1:16" ht="12">
      <c r="A342" s="13"/>
      <c r="B342" s="13"/>
      <c r="C342" s="13"/>
      <c r="D342" s="13"/>
      <c r="E342" s="13"/>
      <c r="F342" s="13"/>
      <c r="G342" s="13"/>
      <c r="H342" s="13"/>
      <c r="I342" s="13"/>
      <c r="J342" s="13"/>
      <c r="K342" s="13"/>
      <c r="L342" s="13"/>
      <c r="M342" s="13"/>
      <c r="N342" s="13"/>
      <c r="O342" s="13"/>
      <c r="P342" s="13"/>
    </row>
    <row r="343" spans="1:16" ht="12">
      <c r="A343" s="13"/>
      <c r="B343" s="13"/>
      <c r="C343" s="13"/>
      <c r="D343" s="13"/>
      <c r="E343" s="13"/>
      <c r="F343" s="13"/>
      <c r="G343" s="13"/>
      <c r="H343" s="13"/>
      <c r="I343" s="13"/>
      <c r="J343" s="13"/>
      <c r="K343" s="13"/>
      <c r="L343" s="13"/>
      <c r="M343" s="13"/>
      <c r="N343" s="13"/>
      <c r="O343" s="13"/>
      <c r="P343" s="13"/>
    </row>
    <row r="344" spans="1:16" ht="12">
      <c r="A344" s="13"/>
      <c r="B344" s="13"/>
      <c r="C344" s="13"/>
      <c r="D344" s="13"/>
      <c r="E344" s="13"/>
      <c r="F344" s="13"/>
      <c r="G344" s="13"/>
      <c r="H344" s="13"/>
      <c r="I344" s="13"/>
      <c r="J344" s="13"/>
      <c r="K344" s="13"/>
      <c r="L344" s="13"/>
      <c r="M344" s="13"/>
      <c r="N344" s="13"/>
      <c r="O344" s="13"/>
      <c r="P344" s="13"/>
    </row>
    <row r="345" spans="1:16" ht="12">
      <c r="A345" s="13"/>
      <c r="B345" s="13"/>
      <c r="C345" s="13"/>
      <c r="D345" s="13"/>
      <c r="E345" s="13"/>
      <c r="F345" s="13"/>
      <c r="G345" s="13"/>
      <c r="H345" s="13"/>
      <c r="I345" s="13"/>
      <c r="J345" s="13"/>
      <c r="K345" s="13"/>
      <c r="L345" s="13"/>
      <c r="M345" s="13"/>
      <c r="N345" s="13"/>
      <c r="O345" s="13"/>
      <c r="P345" s="13"/>
    </row>
    <row r="346" spans="1:16" ht="12">
      <c r="A346" s="13"/>
      <c r="B346" s="13"/>
      <c r="C346" s="13"/>
      <c r="D346" s="13"/>
      <c r="E346" s="13"/>
      <c r="F346" s="13"/>
      <c r="G346" s="13"/>
      <c r="H346" s="13"/>
      <c r="I346" s="13"/>
      <c r="J346" s="13"/>
      <c r="K346" s="13"/>
      <c r="L346" s="13"/>
      <c r="M346" s="13"/>
      <c r="N346" s="13"/>
      <c r="O346" s="13"/>
      <c r="P346" s="13"/>
    </row>
    <row r="347" spans="1:16" ht="12">
      <c r="A347" s="13"/>
      <c r="B347" s="13"/>
      <c r="C347" s="13"/>
      <c r="D347" s="13"/>
      <c r="E347" s="13"/>
      <c r="F347" s="13"/>
      <c r="G347" s="13"/>
      <c r="H347" s="13"/>
      <c r="I347" s="13"/>
      <c r="J347" s="13"/>
      <c r="K347" s="13"/>
      <c r="L347" s="13"/>
      <c r="M347" s="13"/>
      <c r="N347" s="13"/>
      <c r="O347" s="13"/>
      <c r="P347" s="13"/>
    </row>
    <row r="348" spans="1:16" ht="12">
      <c r="A348" s="13"/>
      <c r="B348" s="13"/>
      <c r="C348" s="13"/>
      <c r="D348" s="13"/>
      <c r="E348" s="13"/>
      <c r="F348" s="13"/>
      <c r="G348" s="13"/>
      <c r="H348" s="13"/>
      <c r="I348" s="13"/>
      <c r="J348" s="13"/>
      <c r="K348" s="13"/>
      <c r="L348" s="13"/>
      <c r="M348" s="13"/>
      <c r="N348" s="13"/>
      <c r="O348" s="13"/>
      <c r="P348" s="13"/>
    </row>
    <row r="349" spans="1:16" ht="12">
      <c r="A349" s="13"/>
      <c r="B349" s="13"/>
      <c r="C349" s="13"/>
      <c r="D349" s="13"/>
      <c r="E349" s="13"/>
      <c r="F349" s="13"/>
      <c r="G349" s="13"/>
      <c r="H349" s="13"/>
      <c r="I349" s="13"/>
      <c r="J349" s="13"/>
      <c r="K349" s="13"/>
      <c r="L349" s="13"/>
      <c r="M349" s="13"/>
      <c r="N349" s="13"/>
      <c r="O349" s="13"/>
      <c r="P349" s="13"/>
    </row>
    <row r="350" spans="1:16" ht="12">
      <c r="A350" s="13"/>
      <c r="B350" s="13"/>
      <c r="C350" s="13"/>
      <c r="D350" s="13"/>
      <c r="E350" s="13"/>
      <c r="F350" s="13"/>
      <c r="G350" s="13"/>
      <c r="H350" s="13"/>
      <c r="I350" s="13"/>
      <c r="J350" s="13"/>
      <c r="K350" s="13"/>
      <c r="L350" s="13"/>
      <c r="M350" s="13"/>
      <c r="N350" s="13"/>
      <c r="O350" s="13"/>
      <c r="P350" s="13"/>
    </row>
    <row r="351" spans="1:16" ht="12">
      <c r="A351" s="13"/>
      <c r="B351" s="13"/>
      <c r="C351" s="13"/>
      <c r="D351" s="13"/>
      <c r="E351" s="13"/>
      <c r="F351" s="13"/>
      <c r="G351" s="13"/>
      <c r="H351" s="13"/>
      <c r="I351" s="13"/>
      <c r="J351" s="13"/>
      <c r="K351" s="13"/>
      <c r="L351" s="13"/>
      <c r="M351" s="13"/>
      <c r="N351" s="13"/>
      <c r="O351" s="13"/>
      <c r="P351" s="13"/>
    </row>
    <row r="352" spans="1:16" ht="12">
      <c r="A352" s="13"/>
      <c r="B352" s="13"/>
      <c r="C352" s="13"/>
      <c r="D352" s="13"/>
      <c r="E352" s="13"/>
      <c r="F352" s="13"/>
      <c r="G352" s="13"/>
      <c r="H352" s="13"/>
      <c r="I352" s="13"/>
      <c r="J352" s="13"/>
      <c r="K352" s="13"/>
      <c r="L352" s="13"/>
      <c r="M352" s="13"/>
      <c r="N352" s="13"/>
      <c r="O352" s="13"/>
      <c r="P352" s="13"/>
    </row>
    <row r="353" spans="1:16" ht="12">
      <c r="A353" s="13"/>
      <c r="B353" s="13"/>
      <c r="C353" s="13"/>
      <c r="D353" s="13"/>
      <c r="E353" s="13"/>
      <c r="F353" s="13"/>
      <c r="G353" s="13"/>
      <c r="H353" s="13"/>
      <c r="I353" s="13"/>
      <c r="J353" s="13"/>
      <c r="K353" s="13"/>
      <c r="L353" s="13"/>
      <c r="M353" s="13"/>
      <c r="N353" s="13"/>
      <c r="O353" s="13"/>
      <c r="P353" s="13"/>
    </row>
    <row r="354" spans="1:16" ht="12">
      <c r="A354" s="13"/>
      <c r="B354" s="13"/>
      <c r="C354" s="13"/>
      <c r="D354" s="13"/>
      <c r="E354" s="13"/>
      <c r="F354" s="13"/>
      <c r="G354" s="13"/>
      <c r="H354" s="13"/>
      <c r="I354" s="13"/>
      <c r="J354" s="13"/>
      <c r="K354" s="13"/>
      <c r="L354" s="13"/>
      <c r="M354" s="13"/>
      <c r="N354" s="13"/>
      <c r="O354" s="13"/>
      <c r="P354" s="13"/>
    </row>
    <row r="355" spans="1:16" ht="12">
      <c r="A355" s="13"/>
      <c r="B355" s="13"/>
      <c r="C355" s="13"/>
      <c r="D355" s="13"/>
      <c r="E355" s="13"/>
      <c r="F355" s="13"/>
      <c r="G355" s="13"/>
      <c r="H355" s="13"/>
      <c r="I355" s="13"/>
      <c r="J355" s="13"/>
      <c r="K355" s="13"/>
      <c r="L355" s="13"/>
      <c r="M355" s="13"/>
      <c r="N355" s="13"/>
      <c r="O355" s="13"/>
      <c r="P355" s="13"/>
    </row>
    <row r="356" spans="1:16" ht="12">
      <c r="A356" s="13"/>
      <c r="B356" s="13"/>
      <c r="C356" s="13"/>
      <c r="D356" s="13"/>
      <c r="E356" s="13"/>
      <c r="F356" s="13"/>
      <c r="G356" s="13"/>
      <c r="H356" s="13"/>
      <c r="I356" s="13"/>
      <c r="J356" s="13"/>
      <c r="K356" s="13"/>
      <c r="L356" s="13"/>
      <c r="M356" s="13"/>
      <c r="N356" s="13"/>
      <c r="O356" s="13"/>
      <c r="P356" s="13"/>
    </row>
    <row r="357" spans="1:16" ht="12">
      <c r="A357" s="13"/>
      <c r="B357" s="13"/>
      <c r="C357" s="13"/>
      <c r="D357" s="13"/>
      <c r="E357" s="13"/>
      <c r="F357" s="13"/>
      <c r="G357" s="13"/>
      <c r="H357" s="13"/>
      <c r="I357" s="13"/>
      <c r="J357" s="13"/>
      <c r="K357" s="13"/>
      <c r="L357" s="13"/>
      <c r="M357" s="13"/>
      <c r="N357" s="13"/>
      <c r="O357" s="13"/>
      <c r="P357" s="13"/>
    </row>
    <row r="358" spans="1:16" ht="12">
      <c r="A358" s="13"/>
      <c r="B358" s="13"/>
      <c r="C358" s="13"/>
      <c r="D358" s="13"/>
      <c r="E358" s="13"/>
      <c r="F358" s="13"/>
      <c r="G358" s="13"/>
      <c r="H358" s="13"/>
      <c r="I358" s="13"/>
      <c r="J358" s="13"/>
      <c r="K358" s="13"/>
      <c r="L358" s="13"/>
      <c r="M358" s="13"/>
      <c r="N358" s="13"/>
      <c r="O358" s="13"/>
      <c r="P358" s="13"/>
    </row>
    <row r="359" spans="1:16" ht="12">
      <c r="A359" s="13"/>
      <c r="B359" s="13"/>
      <c r="C359" s="13"/>
      <c r="D359" s="13"/>
      <c r="E359" s="13"/>
      <c r="F359" s="13"/>
      <c r="G359" s="13"/>
      <c r="H359" s="13"/>
      <c r="I359" s="13"/>
      <c r="J359" s="13"/>
      <c r="K359" s="13"/>
      <c r="L359" s="13"/>
      <c r="M359" s="13"/>
      <c r="N359" s="13"/>
      <c r="O359" s="13"/>
      <c r="P359" s="13"/>
    </row>
    <row r="360" spans="1:16" ht="12">
      <c r="A360" s="13"/>
      <c r="B360" s="13"/>
      <c r="C360" s="13"/>
      <c r="D360" s="13"/>
      <c r="E360" s="13"/>
      <c r="F360" s="13"/>
      <c r="G360" s="13"/>
      <c r="H360" s="13"/>
      <c r="I360" s="13"/>
      <c r="J360" s="13"/>
      <c r="K360" s="13"/>
      <c r="L360" s="13"/>
      <c r="M360" s="13"/>
      <c r="N360" s="13"/>
      <c r="O360" s="13"/>
      <c r="P360" s="13"/>
    </row>
    <row r="361" spans="1:16" ht="12">
      <c r="A361" s="13"/>
      <c r="B361" s="13"/>
      <c r="C361" s="13"/>
      <c r="D361" s="13"/>
      <c r="E361" s="13"/>
      <c r="F361" s="13"/>
      <c r="G361" s="13"/>
      <c r="H361" s="13"/>
      <c r="I361" s="13"/>
      <c r="J361" s="13"/>
      <c r="K361" s="13"/>
      <c r="L361" s="13"/>
      <c r="M361" s="13"/>
      <c r="N361" s="13"/>
      <c r="O361" s="13"/>
      <c r="P361" s="13"/>
    </row>
    <row r="362" spans="1:16" ht="12">
      <c r="A362" s="13"/>
      <c r="B362" s="13"/>
      <c r="C362" s="13"/>
      <c r="D362" s="13"/>
      <c r="E362" s="13"/>
      <c r="F362" s="13"/>
      <c r="G362" s="13"/>
      <c r="H362" s="13"/>
      <c r="I362" s="13"/>
      <c r="J362" s="13"/>
      <c r="K362" s="13"/>
      <c r="L362" s="13"/>
      <c r="M362" s="13"/>
      <c r="N362" s="13"/>
      <c r="O362" s="13"/>
      <c r="P362" s="13"/>
    </row>
    <row r="363" spans="1:16" ht="12">
      <c r="A363" s="13"/>
      <c r="B363" s="13"/>
      <c r="C363" s="13"/>
      <c r="D363" s="13"/>
      <c r="E363" s="13"/>
      <c r="F363" s="13"/>
      <c r="G363" s="13"/>
      <c r="H363" s="13"/>
      <c r="I363" s="13"/>
      <c r="J363" s="13"/>
      <c r="K363" s="13"/>
      <c r="L363" s="13"/>
      <c r="M363" s="13"/>
      <c r="N363" s="13"/>
      <c r="O363" s="13"/>
      <c r="P363" s="13"/>
    </row>
    <row r="364" spans="1:16" ht="12">
      <c r="A364" s="13"/>
      <c r="B364" s="13"/>
      <c r="C364" s="13"/>
      <c r="D364" s="13"/>
      <c r="E364" s="13"/>
      <c r="F364" s="13"/>
      <c r="G364" s="13"/>
      <c r="H364" s="13"/>
      <c r="I364" s="13"/>
      <c r="J364" s="13"/>
      <c r="K364" s="13"/>
      <c r="L364" s="13"/>
      <c r="M364" s="13"/>
      <c r="N364" s="13"/>
      <c r="O364" s="13"/>
      <c r="P364" s="13"/>
    </row>
    <row r="365" spans="1:16" ht="12">
      <c r="A365" s="13"/>
      <c r="B365" s="13"/>
      <c r="C365" s="13"/>
      <c r="D365" s="13"/>
      <c r="E365" s="13"/>
      <c r="F365" s="13"/>
      <c r="G365" s="13"/>
      <c r="H365" s="13"/>
      <c r="I365" s="13"/>
      <c r="J365" s="13"/>
      <c r="K365" s="13"/>
      <c r="L365" s="13"/>
      <c r="M365" s="13"/>
      <c r="N365" s="13"/>
      <c r="O365" s="13"/>
      <c r="P365" s="13"/>
    </row>
    <row r="366" spans="1:16" ht="12">
      <c r="A366" s="13"/>
      <c r="B366" s="13"/>
      <c r="C366" s="13"/>
      <c r="D366" s="13"/>
      <c r="E366" s="13"/>
      <c r="F366" s="13"/>
      <c r="G366" s="13"/>
      <c r="H366" s="13"/>
      <c r="I366" s="13"/>
      <c r="J366" s="13"/>
      <c r="K366" s="13"/>
      <c r="L366" s="13"/>
      <c r="M366" s="13"/>
      <c r="N366" s="13"/>
      <c r="O366" s="13"/>
      <c r="P366" s="13"/>
    </row>
    <row r="367" spans="1:16" ht="12">
      <c r="A367" s="13"/>
      <c r="B367" s="13"/>
      <c r="C367" s="13"/>
      <c r="D367" s="13"/>
      <c r="E367" s="13"/>
      <c r="F367" s="13"/>
      <c r="G367" s="13"/>
      <c r="H367" s="13"/>
      <c r="I367" s="13"/>
      <c r="J367" s="13"/>
      <c r="K367" s="13"/>
      <c r="L367" s="13"/>
      <c r="M367" s="13"/>
      <c r="N367" s="13"/>
      <c r="O367" s="13"/>
      <c r="P367" s="13"/>
    </row>
    <row r="368" spans="1:16" ht="12">
      <c r="A368" s="13"/>
      <c r="B368" s="13"/>
      <c r="C368" s="13"/>
      <c r="D368" s="13"/>
      <c r="E368" s="13"/>
      <c r="F368" s="13"/>
      <c r="G368" s="13"/>
      <c r="H368" s="13"/>
      <c r="I368" s="13"/>
      <c r="J368" s="13"/>
      <c r="K368" s="13"/>
      <c r="L368" s="13"/>
      <c r="M368" s="13"/>
      <c r="N368" s="13"/>
      <c r="O368" s="13"/>
      <c r="P368" s="13"/>
    </row>
    <row r="369" spans="1:16" ht="12">
      <c r="A369" s="13"/>
      <c r="B369" s="13"/>
      <c r="C369" s="13"/>
      <c r="D369" s="13"/>
      <c r="E369" s="13"/>
      <c r="F369" s="13"/>
      <c r="G369" s="13"/>
      <c r="H369" s="13"/>
      <c r="I369" s="13"/>
      <c r="J369" s="13"/>
      <c r="K369" s="13"/>
      <c r="L369" s="13"/>
      <c r="M369" s="13"/>
      <c r="N369" s="13"/>
      <c r="O369" s="13"/>
      <c r="P369" s="13"/>
    </row>
    <row r="370" spans="1:16" ht="12">
      <c r="A370" s="13"/>
      <c r="B370" s="13"/>
      <c r="C370" s="13"/>
      <c r="D370" s="13"/>
      <c r="E370" s="13"/>
      <c r="F370" s="13"/>
      <c r="G370" s="13"/>
      <c r="H370" s="13"/>
      <c r="I370" s="13"/>
      <c r="J370" s="13"/>
      <c r="K370" s="13"/>
      <c r="L370" s="13"/>
      <c r="M370" s="13"/>
      <c r="N370" s="13"/>
      <c r="O370" s="13"/>
      <c r="P370" s="13"/>
    </row>
    <row r="371" spans="1:16" ht="12">
      <c r="A371" s="13"/>
      <c r="B371" s="13"/>
      <c r="C371" s="13"/>
      <c r="D371" s="13"/>
      <c r="E371" s="13"/>
      <c r="F371" s="13"/>
      <c r="G371" s="13"/>
      <c r="H371" s="13"/>
      <c r="I371" s="13"/>
      <c r="J371" s="13"/>
      <c r="K371" s="13"/>
      <c r="L371" s="13"/>
      <c r="M371" s="13"/>
      <c r="N371" s="13"/>
      <c r="O371" s="13"/>
      <c r="P371" s="13"/>
    </row>
    <row r="372" spans="1:16" ht="12">
      <c r="A372" s="13"/>
      <c r="B372" s="13"/>
      <c r="C372" s="13"/>
      <c r="D372" s="13"/>
      <c r="E372" s="13"/>
      <c r="F372" s="13"/>
      <c r="G372" s="13"/>
      <c r="H372" s="13"/>
      <c r="I372" s="13"/>
      <c r="J372" s="13"/>
      <c r="K372" s="13"/>
      <c r="L372" s="13"/>
      <c r="M372" s="13"/>
      <c r="N372" s="13"/>
      <c r="O372" s="13"/>
      <c r="P372" s="13"/>
    </row>
    <row r="373" spans="1:16" ht="12">
      <c r="A373" s="13"/>
      <c r="B373" s="13"/>
      <c r="C373" s="13"/>
      <c r="D373" s="13"/>
      <c r="E373" s="13"/>
      <c r="F373" s="13"/>
      <c r="G373" s="13"/>
      <c r="H373" s="13"/>
      <c r="I373" s="13"/>
      <c r="J373" s="13"/>
      <c r="K373" s="13"/>
      <c r="L373" s="13"/>
      <c r="M373" s="13"/>
      <c r="N373" s="13"/>
      <c r="O373" s="13"/>
      <c r="P373" s="13"/>
    </row>
    <row r="374" spans="1:16" ht="12">
      <c r="A374" s="13"/>
      <c r="B374" s="13"/>
      <c r="C374" s="13"/>
      <c r="D374" s="13"/>
      <c r="E374" s="13"/>
      <c r="F374" s="13"/>
      <c r="G374" s="13"/>
      <c r="H374" s="13"/>
      <c r="I374" s="13"/>
      <c r="J374" s="13"/>
      <c r="K374" s="13"/>
      <c r="L374" s="13"/>
      <c r="M374" s="13"/>
      <c r="N374" s="13"/>
      <c r="O374" s="13"/>
      <c r="P374" s="13"/>
    </row>
    <row r="375" spans="1:16" ht="12">
      <c r="A375" s="13"/>
      <c r="B375" s="13"/>
      <c r="C375" s="13"/>
      <c r="D375" s="13"/>
      <c r="E375" s="13"/>
      <c r="F375" s="13"/>
      <c r="G375" s="13"/>
      <c r="H375" s="13"/>
      <c r="I375" s="13"/>
      <c r="J375" s="13"/>
      <c r="K375" s="13"/>
      <c r="L375" s="13"/>
      <c r="M375" s="13"/>
      <c r="N375" s="13"/>
      <c r="O375" s="13"/>
      <c r="P375" s="13"/>
    </row>
    <row r="376" spans="1:16" ht="12">
      <c r="A376" s="13"/>
      <c r="B376" s="13"/>
      <c r="C376" s="13"/>
      <c r="D376" s="13"/>
      <c r="E376" s="13"/>
      <c r="F376" s="13"/>
      <c r="G376" s="13"/>
      <c r="H376" s="13"/>
      <c r="I376" s="13"/>
      <c r="J376" s="13"/>
      <c r="K376" s="13"/>
      <c r="L376" s="13"/>
      <c r="M376" s="13"/>
      <c r="N376" s="13"/>
      <c r="O376" s="13"/>
      <c r="P376" s="13"/>
    </row>
    <row r="377" spans="1:16" ht="12">
      <c r="A377" s="13"/>
      <c r="B377" s="13"/>
      <c r="C377" s="13"/>
      <c r="D377" s="13"/>
      <c r="E377" s="13"/>
      <c r="F377" s="13"/>
      <c r="G377" s="13"/>
      <c r="H377" s="13"/>
      <c r="I377" s="13"/>
      <c r="J377" s="13"/>
      <c r="K377" s="13"/>
      <c r="L377" s="13"/>
      <c r="M377" s="13"/>
      <c r="N377" s="13"/>
      <c r="O377" s="13"/>
      <c r="P377" s="13"/>
    </row>
    <row r="378" spans="1:16" ht="12">
      <c r="A378" s="13"/>
      <c r="B378" s="13"/>
      <c r="C378" s="13"/>
      <c r="D378" s="13"/>
      <c r="E378" s="13"/>
      <c r="F378" s="13"/>
      <c r="G378" s="13"/>
      <c r="H378" s="13"/>
      <c r="I378" s="13"/>
      <c r="J378" s="13"/>
      <c r="K378" s="13"/>
      <c r="L378" s="13"/>
      <c r="M378" s="13"/>
      <c r="N378" s="13"/>
      <c r="O378" s="13"/>
      <c r="P378" s="13"/>
    </row>
    <row r="379" spans="1:16" ht="12">
      <c r="A379" s="13"/>
      <c r="B379" s="13"/>
      <c r="C379" s="13"/>
      <c r="D379" s="13"/>
      <c r="E379" s="13"/>
      <c r="F379" s="13"/>
      <c r="G379" s="13"/>
      <c r="H379" s="13"/>
      <c r="I379" s="13"/>
      <c r="J379" s="13"/>
      <c r="K379" s="13"/>
      <c r="L379" s="13"/>
      <c r="M379" s="13"/>
      <c r="N379" s="13"/>
      <c r="O379" s="13"/>
      <c r="P379" s="13"/>
    </row>
    <row r="380" spans="1:16" ht="12">
      <c r="A380" s="13"/>
      <c r="B380" s="13"/>
      <c r="C380" s="13"/>
      <c r="D380" s="13"/>
      <c r="E380" s="13"/>
      <c r="F380" s="13"/>
      <c r="G380" s="13"/>
      <c r="H380" s="13"/>
      <c r="I380" s="13"/>
      <c r="J380" s="13"/>
      <c r="K380" s="13"/>
      <c r="L380" s="13"/>
      <c r="M380" s="13"/>
      <c r="N380" s="13"/>
      <c r="O380" s="13"/>
      <c r="P380" s="13"/>
    </row>
    <row r="381" spans="1:16" ht="12">
      <c r="A381" s="13"/>
      <c r="B381" s="13"/>
      <c r="C381" s="13"/>
      <c r="D381" s="13"/>
      <c r="E381" s="13"/>
      <c r="F381" s="13"/>
      <c r="G381" s="13"/>
      <c r="H381" s="13"/>
      <c r="I381" s="13"/>
      <c r="J381" s="13"/>
      <c r="K381" s="13"/>
      <c r="L381" s="13"/>
      <c r="M381" s="13"/>
      <c r="N381" s="13"/>
      <c r="O381" s="13"/>
      <c r="P381" s="13"/>
    </row>
    <row r="382" spans="1:16" ht="12">
      <c r="A382" s="13"/>
      <c r="B382" s="13"/>
      <c r="C382" s="13"/>
      <c r="D382" s="13"/>
      <c r="E382" s="13"/>
      <c r="F382" s="13"/>
      <c r="G382" s="13"/>
      <c r="H382" s="13"/>
      <c r="I382" s="13"/>
      <c r="J382" s="13"/>
      <c r="K382" s="13"/>
      <c r="L382" s="13"/>
      <c r="M382" s="13"/>
      <c r="N382" s="13"/>
      <c r="O382" s="13"/>
      <c r="P382" s="13"/>
    </row>
    <row r="383" spans="1:16" ht="12">
      <c r="A383" s="13"/>
      <c r="B383" s="13"/>
      <c r="C383" s="13"/>
      <c r="D383" s="13"/>
      <c r="E383" s="13"/>
      <c r="F383" s="13"/>
      <c r="G383" s="13"/>
      <c r="H383" s="13"/>
      <c r="I383" s="13"/>
      <c r="J383" s="13"/>
      <c r="K383" s="13"/>
      <c r="L383" s="13"/>
      <c r="M383" s="13"/>
      <c r="N383" s="13"/>
      <c r="O383" s="13"/>
      <c r="P383" s="13"/>
    </row>
    <row r="384" spans="1:16" ht="12">
      <c r="A384" s="13"/>
      <c r="B384" s="13"/>
      <c r="C384" s="13"/>
      <c r="D384" s="13"/>
      <c r="E384" s="13"/>
      <c r="F384" s="13"/>
      <c r="G384" s="13"/>
      <c r="H384" s="13"/>
      <c r="I384" s="13"/>
      <c r="J384" s="13"/>
      <c r="K384" s="13"/>
      <c r="L384" s="13"/>
      <c r="M384" s="13"/>
      <c r="N384" s="13"/>
      <c r="O384" s="13"/>
      <c r="P384" s="13"/>
    </row>
    <row r="385" spans="1:16" ht="12">
      <c r="A385" s="13"/>
      <c r="B385" s="13"/>
      <c r="C385" s="13"/>
      <c r="D385" s="13"/>
      <c r="E385" s="13"/>
      <c r="F385" s="13"/>
      <c r="G385" s="13"/>
      <c r="H385" s="13"/>
      <c r="I385" s="13"/>
      <c r="J385" s="13"/>
      <c r="K385" s="13"/>
      <c r="L385" s="13"/>
      <c r="M385" s="13"/>
      <c r="N385" s="13"/>
      <c r="O385" s="13"/>
      <c r="P385" s="13"/>
    </row>
    <row r="386" spans="1:16" ht="12">
      <c r="A386" s="13"/>
      <c r="B386" s="13"/>
      <c r="C386" s="13"/>
      <c r="D386" s="13"/>
      <c r="E386" s="13"/>
      <c r="F386" s="13"/>
      <c r="G386" s="13"/>
      <c r="H386" s="13"/>
      <c r="I386" s="13"/>
      <c r="J386" s="13"/>
      <c r="K386" s="13"/>
      <c r="L386" s="13"/>
      <c r="M386" s="13"/>
      <c r="N386" s="13"/>
      <c r="O386" s="13"/>
      <c r="P386" s="13"/>
    </row>
    <row r="387" spans="1:16" ht="12">
      <c r="A387" s="13"/>
      <c r="B387" s="13"/>
      <c r="C387" s="13"/>
      <c r="D387" s="13"/>
      <c r="E387" s="13"/>
      <c r="F387" s="13"/>
      <c r="G387" s="13"/>
      <c r="H387" s="13"/>
      <c r="I387" s="13"/>
      <c r="J387" s="13"/>
      <c r="K387" s="13"/>
      <c r="L387" s="13"/>
      <c r="M387" s="13"/>
      <c r="N387" s="13"/>
      <c r="O387" s="13"/>
      <c r="P387" s="13"/>
    </row>
    <row r="388" spans="1:16" ht="12">
      <c r="A388" s="13"/>
      <c r="B388" s="13"/>
      <c r="C388" s="13"/>
      <c r="D388" s="13"/>
      <c r="E388" s="13"/>
      <c r="F388" s="13"/>
      <c r="G388" s="13"/>
      <c r="H388" s="13"/>
      <c r="I388" s="13"/>
      <c r="J388" s="13"/>
      <c r="K388" s="13"/>
      <c r="L388" s="13"/>
      <c r="M388" s="13"/>
      <c r="N388" s="13"/>
      <c r="O388" s="13"/>
      <c r="P388" s="13"/>
    </row>
    <row r="389" spans="1:16" ht="12">
      <c r="A389" s="13"/>
      <c r="B389" s="13"/>
      <c r="C389" s="13"/>
      <c r="D389" s="13"/>
      <c r="E389" s="13"/>
      <c r="F389" s="13"/>
      <c r="G389" s="13"/>
      <c r="H389" s="13"/>
      <c r="I389" s="13"/>
      <c r="J389" s="13"/>
      <c r="K389" s="13"/>
      <c r="L389" s="13"/>
      <c r="M389" s="13"/>
      <c r="N389" s="13"/>
      <c r="O389" s="13"/>
      <c r="P389" s="13"/>
    </row>
    <row r="390" spans="1:16" ht="12">
      <c r="A390" s="13"/>
      <c r="B390" s="13"/>
      <c r="C390" s="13"/>
      <c r="D390" s="13"/>
      <c r="E390" s="13"/>
      <c r="F390" s="13"/>
      <c r="G390" s="13"/>
      <c r="H390" s="13"/>
      <c r="I390" s="13"/>
      <c r="J390" s="13"/>
      <c r="K390" s="13"/>
      <c r="L390" s="13"/>
      <c r="M390" s="13"/>
      <c r="N390" s="13"/>
      <c r="O390" s="13"/>
      <c r="P390" s="13"/>
    </row>
    <row r="391" spans="1:16" ht="12">
      <c r="A391" s="13"/>
      <c r="B391" s="13"/>
      <c r="C391" s="13"/>
      <c r="D391" s="13"/>
      <c r="E391" s="13"/>
      <c r="F391" s="13"/>
      <c r="G391" s="13"/>
      <c r="H391" s="13"/>
      <c r="I391" s="13"/>
      <c r="J391" s="13"/>
      <c r="K391" s="13"/>
      <c r="L391" s="13"/>
      <c r="M391" s="13"/>
      <c r="N391" s="13"/>
      <c r="O391" s="13"/>
      <c r="P391" s="13"/>
    </row>
    <row r="392" spans="1:16" ht="12">
      <c r="A392" s="13"/>
      <c r="B392" s="13"/>
      <c r="C392" s="13"/>
      <c r="D392" s="13"/>
      <c r="E392" s="13"/>
      <c r="F392" s="13"/>
      <c r="G392" s="13"/>
      <c r="H392" s="13"/>
      <c r="I392" s="13"/>
      <c r="J392" s="13"/>
      <c r="K392" s="13"/>
      <c r="L392" s="13"/>
      <c r="M392" s="13"/>
      <c r="N392" s="13"/>
      <c r="O392" s="13"/>
      <c r="P392" s="13"/>
    </row>
    <row r="393" spans="1:16" ht="12">
      <c r="A393" s="13"/>
      <c r="B393" s="13"/>
      <c r="C393" s="13"/>
      <c r="D393" s="13"/>
      <c r="E393" s="13"/>
      <c r="F393" s="13"/>
      <c r="G393" s="13"/>
      <c r="H393" s="13"/>
      <c r="I393" s="13"/>
      <c r="J393" s="13"/>
      <c r="K393" s="13"/>
      <c r="L393" s="13"/>
      <c r="M393" s="13"/>
      <c r="N393" s="13"/>
      <c r="O393" s="13"/>
      <c r="P393" s="13"/>
    </row>
    <row r="394" spans="1:16" ht="12">
      <c r="A394" s="13"/>
      <c r="B394" s="13"/>
      <c r="C394" s="13"/>
      <c r="D394" s="13"/>
      <c r="E394" s="13"/>
      <c r="F394" s="13"/>
      <c r="G394" s="13"/>
      <c r="H394" s="13"/>
      <c r="I394" s="13"/>
      <c r="J394" s="13"/>
      <c r="K394" s="13"/>
      <c r="L394" s="13"/>
      <c r="M394" s="13"/>
      <c r="N394" s="13"/>
      <c r="O394" s="13"/>
      <c r="P394" s="13"/>
    </row>
    <row r="395" spans="1:16" ht="12">
      <c r="A395" s="13"/>
      <c r="B395" s="13"/>
      <c r="C395" s="13"/>
      <c r="D395" s="13"/>
      <c r="E395" s="13"/>
      <c r="F395" s="13"/>
      <c r="G395" s="13"/>
      <c r="H395" s="13"/>
      <c r="I395" s="13"/>
      <c r="J395" s="13"/>
      <c r="K395" s="13"/>
      <c r="L395" s="13"/>
      <c r="M395" s="13"/>
      <c r="N395" s="13"/>
      <c r="O395" s="13"/>
      <c r="P395" s="13"/>
    </row>
    <row r="396" spans="1:16" ht="12">
      <c r="A396" s="13"/>
      <c r="B396" s="13"/>
      <c r="C396" s="13"/>
      <c r="D396" s="13"/>
      <c r="E396" s="13"/>
      <c r="F396" s="13"/>
      <c r="G396" s="13"/>
      <c r="H396" s="13"/>
      <c r="I396" s="13"/>
      <c r="J396" s="13"/>
      <c r="K396" s="13"/>
      <c r="L396" s="13"/>
      <c r="M396" s="13"/>
      <c r="N396" s="13"/>
      <c r="O396" s="13"/>
      <c r="P396" s="13"/>
    </row>
    <row r="397" spans="1:16" ht="12">
      <c r="A397" s="13"/>
      <c r="B397" s="13"/>
      <c r="C397" s="13"/>
      <c r="D397" s="13"/>
      <c r="E397" s="13"/>
      <c r="F397" s="13"/>
      <c r="G397" s="13"/>
      <c r="H397" s="13"/>
      <c r="I397" s="13"/>
      <c r="J397" s="13"/>
      <c r="K397" s="13"/>
      <c r="L397" s="13"/>
      <c r="M397" s="13"/>
      <c r="N397" s="13"/>
      <c r="O397" s="13"/>
      <c r="P397" s="13"/>
    </row>
    <row r="398" spans="1:16" ht="12">
      <c r="A398" s="13"/>
      <c r="B398" s="13"/>
      <c r="C398" s="13"/>
      <c r="D398" s="13"/>
      <c r="E398" s="13"/>
      <c r="F398" s="13"/>
      <c r="G398" s="13"/>
      <c r="H398" s="13"/>
      <c r="I398" s="13"/>
      <c r="J398" s="13"/>
      <c r="K398" s="13"/>
      <c r="L398" s="13"/>
      <c r="M398" s="13"/>
      <c r="N398" s="13"/>
      <c r="O398" s="13"/>
      <c r="P398" s="13"/>
    </row>
    <row r="399" spans="1:16" ht="12">
      <c r="A399" s="13"/>
      <c r="B399" s="13"/>
      <c r="C399" s="13"/>
      <c r="D399" s="13"/>
      <c r="E399" s="13"/>
      <c r="F399" s="13"/>
      <c r="G399" s="13"/>
      <c r="H399" s="13"/>
      <c r="I399" s="13"/>
      <c r="J399" s="13"/>
      <c r="K399" s="13"/>
      <c r="L399" s="13"/>
      <c r="M399" s="13"/>
      <c r="N399" s="13"/>
      <c r="O399" s="13"/>
      <c r="P399" s="13"/>
    </row>
    <row r="400" spans="1:16" ht="12">
      <c r="A400" s="13"/>
      <c r="B400" s="13"/>
      <c r="C400" s="13"/>
      <c r="D400" s="13"/>
      <c r="E400" s="13"/>
      <c r="F400" s="13"/>
      <c r="G400" s="13"/>
      <c r="H400" s="13"/>
      <c r="I400" s="13"/>
      <c r="J400" s="13"/>
      <c r="K400" s="13"/>
      <c r="L400" s="13"/>
      <c r="M400" s="13"/>
      <c r="N400" s="13"/>
      <c r="O400" s="13"/>
      <c r="P400" s="13"/>
    </row>
    <row r="401" spans="1:16" ht="12">
      <c r="A401" s="13"/>
      <c r="B401" s="13"/>
      <c r="C401" s="13"/>
      <c r="D401" s="13"/>
      <c r="E401" s="13"/>
      <c r="F401" s="13"/>
      <c r="G401" s="13"/>
      <c r="H401" s="13"/>
      <c r="I401" s="13"/>
      <c r="J401" s="13"/>
      <c r="K401" s="13"/>
      <c r="L401" s="13"/>
      <c r="M401" s="13"/>
      <c r="N401" s="13"/>
      <c r="O401" s="13"/>
      <c r="P401" s="13"/>
    </row>
    <row r="402" spans="1:16" ht="12">
      <c r="A402" s="13"/>
      <c r="B402" s="13"/>
      <c r="C402" s="13"/>
      <c r="D402" s="13"/>
      <c r="E402" s="13"/>
      <c r="F402" s="13"/>
      <c r="G402" s="13"/>
      <c r="H402" s="13"/>
      <c r="I402" s="13"/>
      <c r="J402" s="13"/>
      <c r="K402" s="13"/>
      <c r="L402" s="13"/>
      <c r="M402" s="13"/>
      <c r="N402" s="13"/>
      <c r="O402" s="13"/>
      <c r="P402" s="13"/>
    </row>
    <row r="403" spans="1:16" ht="12">
      <c r="A403" s="13"/>
      <c r="B403" s="13"/>
      <c r="C403" s="13"/>
      <c r="D403" s="13"/>
      <c r="E403" s="13"/>
      <c r="F403" s="13"/>
      <c r="G403" s="13"/>
      <c r="H403" s="13"/>
      <c r="I403" s="13"/>
      <c r="J403" s="13"/>
      <c r="K403" s="13"/>
      <c r="L403" s="13"/>
      <c r="M403" s="13"/>
      <c r="N403" s="13"/>
      <c r="O403" s="13"/>
      <c r="P403" s="13"/>
    </row>
    <row r="404" spans="1:16" ht="12">
      <c r="A404" s="13"/>
      <c r="B404" s="13"/>
      <c r="C404" s="13"/>
      <c r="D404" s="13"/>
      <c r="E404" s="13"/>
      <c r="F404" s="13"/>
      <c r="G404" s="13"/>
      <c r="H404" s="13"/>
      <c r="I404" s="13"/>
      <c r="J404" s="13"/>
      <c r="K404" s="13"/>
      <c r="L404" s="13"/>
      <c r="M404" s="13"/>
      <c r="N404" s="13"/>
      <c r="O404" s="13"/>
      <c r="P404" s="13"/>
    </row>
    <row r="405" spans="1:16" ht="12">
      <c r="A405" s="13"/>
      <c r="B405" s="13"/>
      <c r="C405" s="13"/>
      <c r="D405" s="13"/>
      <c r="E405" s="13"/>
      <c r="F405" s="13"/>
      <c r="G405" s="13"/>
      <c r="H405" s="13"/>
      <c r="I405" s="13"/>
      <c r="J405" s="13"/>
      <c r="K405" s="13"/>
      <c r="L405" s="13"/>
      <c r="M405" s="13"/>
      <c r="N405" s="13"/>
      <c r="O405" s="13"/>
      <c r="P405" s="13"/>
    </row>
    <row r="406" spans="1:16" ht="12">
      <c r="A406" s="13"/>
      <c r="B406" s="13"/>
      <c r="C406" s="13"/>
      <c r="D406" s="13"/>
      <c r="E406" s="13"/>
      <c r="F406" s="13"/>
      <c r="G406" s="13"/>
      <c r="H406" s="13"/>
      <c r="I406" s="13"/>
      <c r="J406" s="13"/>
      <c r="K406" s="13"/>
      <c r="L406" s="13"/>
      <c r="M406" s="13"/>
      <c r="N406" s="13"/>
      <c r="O406" s="13"/>
      <c r="P406" s="13"/>
    </row>
    <row r="407" spans="1:16" ht="12">
      <c r="A407" s="13"/>
      <c r="B407" s="13"/>
      <c r="C407" s="13"/>
      <c r="D407" s="13"/>
      <c r="E407" s="13"/>
      <c r="F407" s="13"/>
      <c r="G407" s="13"/>
      <c r="H407" s="13"/>
      <c r="I407" s="13"/>
      <c r="J407" s="13"/>
      <c r="K407" s="13"/>
      <c r="L407" s="13"/>
      <c r="M407" s="13"/>
      <c r="N407" s="13"/>
      <c r="O407" s="13"/>
      <c r="P407" s="13"/>
    </row>
    <row r="408" spans="1:16" ht="12">
      <c r="A408" s="13"/>
      <c r="B408" s="13"/>
      <c r="C408" s="13"/>
      <c r="D408" s="13"/>
      <c r="E408" s="13"/>
      <c r="F408" s="13"/>
      <c r="G408" s="13"/>
      <c r="H408" s="13"/>
      <c r="I408" s="13"/>
      <c r="J408" s="13"/>
      <c r="K408" s="13"/>
      <c r="L408" s="13"/>
      <c r="M408" s="13"/>
      <c r="N408" s="13"/>
      <c r="O408" s="13"/>
      <c r="P408" s="13"/>
    </row>
    <row r="409" spans="1:16" ht="12">
      <c r="A409" s="13"/>
      <c r="B409" s="13"/>
      <c r="C409" s="13"/>
      <c r="D409" s="13"/>
      <c r="E409" s="13"/>
      <c r="F409" s="13"/>
      <c r="G409" s="13"/>
      <c r="H409" s="13"/>
      <c r="I409" s="13"/>
      <c r="J409" s="13"/>
      <c r="K409" s="13"/>
      <c r="L409" s="13"/>
      <c r="M409" s="13"/>
      <c r="N409" s="13"/>
      <c r="O409" s="13"/>
      <c r="P409" s="13"/>
    </row>
    <row r="410" spans="1:16" ht="12">
      <c r="A410" s="13"/>
      <c r="B410" s="13"/>
      <c r="C410" s="13"/>
      <c r="D410" s="13"/>
      <c r="E410" s="13"/>
      <c r="F410" s="13"/>
      <c r="G410" s="13"/>
      <c r="H410" s="13"/>
      <c r="I410" s="13"/>
      <c r="J410" s="13"/>
      <c r="K410" s="13"/>
      <c r="L410" s="13"/>
      <c r="M410" s="13"/>
      <c r="N410" s="13"/>
      <c r="O410" s="13"/>
      <c r="P410" s="13"/>
    </row>
    <row r="411" spans="1:16" ht="12">
      <c r="A411" s="13"/>
      <c r="B411" s="13"/>
      <c r="C411" s="13"/>
      <c r="D411" s="13"/>
      <c r="E411" s="13"/>
      <c r="F411" s="13"/>
      <c r="G411" s="13"/>
      <c r="H411" s="13"/>
      <c r="I411" s="13"/>
      <c r="J411" s="13"/>
      <c r="K411" s="13"/>
      <c r="L411" s="13"/>
      <c r="M411" s="13"/>
      <c r="N411" s="13"/>
      <c r="O411" s="13"/>
      <c r="P411" s="13"/>
    </row>
    <row r="412" spans="1:16" ht="12">
      <c r="A412" s="13"/>
      <c r="B412" s="13"/>
      <c r="C412" s="13"/>
      <c r="D412" s="13"/>
      <c r="E412" s="13"/>
      <c r="F412" s="13"/>
      <c r="G412" s="13"/>
      <c r="H412" s="13"/>
      <c r="I412" s="13"/>
      <c r="J412" s="13"/>
      <c r="K412" s="13"/>
      <c r="L412" s="13"/>
      <c r="M412" s="13"/>
      <c r="N412" s="13"/>
      <c r="O412" s="13"/>
      <c r="P412" s="13"/>
    </row>
    <row r="413" spans="1:16" ht="12">
      <c r="A413" s="13"/>
      <c r="B413" s="13"/>
      <c r="C413" s="13"/>
      <c r="D413" s="13"/>
      <c r="E413" s="13"/>
      <c r="F413" s="13"/>
      <c r="G413" s="13"/>
      <c r="H413" s="13"/>
      <c r="I413" s="13"/>
      <c r="J413" s="13"/>
      <c r="K413" s="13"/>
      <c r="L413" s="13"/>
      <c r="M413" s="13"/>
      <c r="N413" s="13"/>
      <c r="O413" s="13"/>
      <c r="P413" s="13"/>
    </row>
    <row r="414" spans="1:16" ht="12">
      <c r="A414" s="13"/>
      <c r="B414" s="13"/>
      <c r="C414" s="13"/>
      <c r="D414" s="13"/>
      <c r="E414" s="13"/>
      <c r="F414" s="13"/>
      <c r="G414" s="13"/>
      <c r="H414" s="13"/>
      <c r="I414" s="13"/>
      <c r="J414" s="13"/>
      <c r="K414" s="13"/>
      <c r="L414" s="13"/>
      <c r="M414" s="13"/>
      <c r="N414" s="13"/>
      <c r="O414" s="13"/>
      <c r="P414" s="13"/>
    </row>
    <row r="415" spans="1:16" ht="12">
      <c r="A415" s="13"/>
      <c r="B415" s="13"/>
      <c r="C415" s="13"/>
      <c r="D415" s="13"/>
      <c r="E415" s="13"/>
      <c r="F415" s="13"/>
      <c r="G415" s="13"/>
      <c r="H415" s="13"/>
      <c r="I415" s="13"/>
      <c r="J415" s="13"/>
      <c r="K415" s="13"/>
      <c r="L415" s="13"/>
      <c r="M415" s="13"/>
      <c r="N415" s="13"/>
      <c r="O415" s="13"/>
      <c r="P415" s="13"/>
    </row>
    <row r="416" spans="1:16" ht="12">
      <c r="A416" s="13"/>
      <c r="B416" s="13"/>
      <c r="C416" s="13"/>
      <c r="D416" s="13"/>
      <c r="E416" s="13"/>
      <c r="F416" s="13"/>
      <c r="G416" s="13"/>
      <c r="H416" s="13"/>
      <c r="I416" s="13"/>
      <c r="J416" s="13"/>
      <c r="K416" s="13"/>
      <c r="L416" s="13"/>
      <c r="M416" s="13"/>
      <c r="N416" s="13"/>
      <c r="O416" s="13"/>
      <c r="P416" s="13"/>
    </row>
    <row r="417" spans="1:16" ht="12">
      <c r="A417" s="13"/>
      <c r="B417" s="13"/>
      <c r="C417" s="13"/>
      <c r="D417" s="13"/>
      <c r="E417" s="13"/>
      <c r="F417" s="13"/>
      <c r="G417" s="13"/>
      <c r="H417" s="13"/>
      <c r="I417" s="13"/>
      <c r="J417" s="13"/>
      <c r="K417" s="13"/>
      <c r="L417" s="13"/>
      <c r="M417" s="13"/>
      <c r="N417" s="13"/>
      <c r="O417" s="13"/>
      <c r="P417" s="13"/>
    </row>
    <row r="418" spans="1:16" ht="12">
      <c r="A418" s="13"/>
      <c r="B418" s="13"/>
      <c r="C418" s="13"/>
      <c r="D418" s="13"/>
      <c r="E418" s="13"/>
      <c r="F418" s="13"/>
      <c r="G418" s="13"/>
      <c r="H418" s="13"/>
      <c r="I418" s="13"/>
      <c r="J418" s="13"/>
      <c r="K418" s="13"/>
      <c r="L418" s="13"/>
      <c r="M418" s="13"/>
      <c r="N418" s="13"/>
      <c r="O418" s="13"/>
      <c r="P418" s="13"/>
    </row>
    <row r="419" spans="1:16" ht="12">
      <c r="A419" s="13"/>
      <c r="B419" s="13"/>
      <c r="C419" s="13"/>
      <c r="D419" s="13"/>
      <c r="E419" s="13"/>
      <c r="F419" s="13"/>
      <c r="G419" s="13"/>
      <c r="H419" s="13"/>
      <c r="I419" s="13"/>
      <c r="J419" s="13"/>
      <c r="K419" s="13"/>
      <c r="L419" s="13"/>
      <c r="M419" s="13"/>
      <c r="N419" s="13"/>
      <c r="O419" s="13"/>
      <c r="P419" s="13"/>
    </row>
    <row r="420" spans="1:16" ht="12">
      <c r="A420" s="13"/>
      <c r="B420" s="13"/>
      <c r="C420" s="13"/>
      <c r="D420" s="13"/>
      <c r="E420" s="13"/>
      <c r="F420" s="13"/>
      <c r="G420" s="13"/>
      <c r="H420" s="13"/>
      <c r="I420" s="13"/>
      <c r="J420" s="13"/>
      <c r="K420" s="13"/>
      <c r="L420" s="13"/>
      <c r="M420" s="13"/>
      <c r="N420" s="13"/>
      <c r="O420" s="13"/>
      <c r="P420" s="13"/>
    </row>
    <row r="421" spans="1:16" ht="12">
      <c r="A421" s="13"/>
      <c r="B421" s="13"/>
      <c r="C421" s="13"/>
      <c r="D421" s="13"/>
      <c r="E421" s="13"/>
      <c r="F421" s="13"/>
      <c r="G421" s="13"/>
      <c r="H421" s="13"/>
      <c r="I421" s="13"/>
      <c r="J421" s="13"/>
      <c r="K421" s="13"/>
      <c r="L421" s="13"/>
      <c r="M421" s="13"/>
      <c r="N421" s="13"/>
      <c r="O421" s="13"/>
      <c r="P421" s="13"/>
    </row>
    <row r="422" spans="1:16" ht="12">
      <c r="A422" s="13"/>
      <c r="B422" s="13"/>
      <c r="C422" s="13"/>
      <c r="D422" s="13"/>
      <c r="E422" s="13"/>
      <c r="F422" s="13"/>
      <c r="G422" s="13"/>
      <c r="H422" s="13"/>
      <c r="I422" s="13"/>
      <c r="J422" s="13"/>
      <c r="K422" s="13"/>
      <c r="L422" s="13"/>
      <c r="M422" s="13"/>
      <c r="N422" s="13"/>
      <c r="O422" s="13"/>
      <c r="P422" s="13"/>
    </row>
    <row r="423" spans="1:16" ht="12">
      <c r="A423" s="13"/>
      <c r="B423" s="13"/>
      <c r="C423" s="13"/>
      <c r="D423" s="13"/>
      <c r="E423" s="13"/>
      <c r="F423" s="13"/>
      <c r="G423" s="13"/>
      <c r="H423" s="13"/>
      <c r="I423" s="13"/>
      <c r="J423" s="13"/>
      <c r="K423" s="13"/>
      <c r="L423" s="13"/>
      <c r="M423" s="13"/>
      <c r="N423" s="13"/>
      <c r="O423" s="13"/>
      <c r="P423" s="13"/>
    </row>
    <row r="424" spans="1:16" ht="12">
      <c r="A424" s="13"/>
      <c r="B424" s="13"/>
      <c r="C424" s="13"/>
      <c r="D424" s="13"/>
      <c r="E424" s="13"/>
      <c r="F424" s="13"/>
      <c r="G424" s="13"/>
      <c r="H424" s="13"/>
      <c r="I424" s="13"/>
      <c r="J424" s="13"/>
      <c r="K424" s="13"/>
      <c r="L424" s="13"/>
      <c r="M424" s="13"/>
      <c r="N424" s="13"/>
      <c r="O424" s="13"/>
      <c r="P424" s="13"/>
    </row>
    <row r="425" spans="1:16" ht="12">
      <c r="A425" s="13"/>
      <c r="B425" s="13"/>
      <c r="C425" s="13"/>
      <c r="D425" s="13"/>
      <c r="E425" s="13"/>
      <c r="F425" s="13"/>
      <c r="G425" s="13"/>
      <c r="H425" s="13"/>
      <c r="I425" s="13"/>
      <c r="J425" s="13"/>
      <c r="K425" s="13"/>
      <c r="L425" s="13"/>
      <c r="M425" s="13"/>
      <c r="N425" s="13"/>
      <c r="O425" s="13"/>
      <c r="P425" s="13"/>
    </row>
    <row r="426" spans="1:16" ht="12">
      <c r="A426" s="13"/>
      <c r="B426" s="13"/>
      <c r="C426" s="13"/>
      <c r="D426" s="13"/>
      <c r="E426" s="13"/>
      <c r="F426" s="13"/>
      <c r="G426" s="13"/>
      <c r="H426" s="13"/>
      <c r="I426" s="13"/>
      <c r="J426" s="13"/>
      <c r="K426" s="13"/>
      <c r="L426" s="13"/>
      <c r="M426" s="13"/>
      <c r="N426" s="13"/>
      <c r="O426" s="13"/>
      <c r="P426" s="13"/>
    </row>
    <row r="427" spans="1:16" ht="12">
      <c r="A427" s="13"/>
      <c r="B427" s="13"/>
      <c r="C427" s="13"/>
      <c r="D427" s="13"/>
      <c r="E427" s="13"/>
      <c r="F427" s="13"/>
      <c r="G427" s="13"/>
      <c r="H427" s="13"/>
      <c r="I427" s="13"/>
      <c r="J427" s="13"/>
      <c r="K427" s="13"/>
      <c r="L427" s="13"/>
      <c r="M427" s="13"/>
      <c r="N427" s="13"/>
      <c r="O427" s="13"/>
      <c r="P427" s="13"/>
    </row>
    <row r="428" spans="1:16" ht="12">
      <c r="A428" s="13"/>
      <c r="B428" s="13"/>
      <c r="C428" s="13"/>
      <c r="D428" s="13"/>
      <c r="E428" s="13"/>
      <c r="F428" s="13"/>
      <c r="G428" s="13"/>
      <c r="H428" s="13"/>
      <c r="I428" s="13"/>
      <c r="J428" s="13"/>
      <c r="K428" s="13"/>
      <c r="L428" s="13"/>
      <c r="M428" s="13"/>
      <c r="N428" s="13"/>
      <c r="O428" s="13"/>
      <c r="P428" s="13"/>
    </row>
    <row r="429" spans="1:16" ht="12">
      <c r="A429" s="13"/>
      <c r="B429" s="13"/>
      <c r="C429" s="13"/>
      <c r="D429" s="13"/>
      <c r="E429" s="13"/>
      <c r="F429" s="13"/>
      <c r="G429" s="13"/>
      <c r="H429" s="13"/>
      <c r="I429" s="13"/>
      <c r="J429" s="13"/>
      <c r="K429" s="13"/>
      <c r="L429" s="13"/>
      <c r="M429" s="13"/>
      <c r="N429" s="13"/>
      <c r="O429" s="13"/>
      <c r="P429" s="13"/>
    </row>
    <row r="430" spans="1:16" ht="12">
      <c r="A430" s="13"/>
      <c r="B430" s="13"/>
      <c r="C430" s="13"/>
      <c r="D430" s="13"/>
      <c r="E430" s="13"/>
      <c r="F430" s="13"/>
      <c r="G430" s="13"/>
      <c r="H430" s="13"/>
      <c r="I430" s="13"/>
      <c r="J430" s="13"/>
      <c r="K430" s="13"/>
      <c r="L430" s="13"/>
      <c r="M430" s="13"/>
      <c r="N430" s="13"/>
      <c r="O430" s="13"/>
      <c r="P430" s="13"/>
    </row>
    <row r="431" spans="1:16" ht="12">
      <c r="A431" s="13"/>
      <c r="B431" s="13"/>
      <c r="C431" s="13"/>
      <c r="D431" s="13"/>
      <c r="E431" s="13"/>
      <c r="F431" s="13"/>
      <c r="G431" s="13"/>
      <c r="H431" s="13"/>
      <c r="I431" s="13"/>
      <c r="J431" s="13"/>
      <c r="K431" s="13"/>
      <c r="L431" s="13"/>
      <c r="M431" s="13"/>
      <c r="N431" s="13"/>
      <c r="O431" s="13"/>
      <c r="P431" s="13"/>
    </row>
    <row r="432" spans="1:16" ht="12">
      <c r="A432" s="13"/>
      <c r="B432" s="13"/>
      <c r="C432" s="13"/>
      <c r="D432" s="13"/>
      <c r="E432" s="13"/>
      <c r="F432" s="13"/>
      <c r="G432" s="13"/>
      <c r="H432" s="13"/>
      <c r="I432" s="13"/>
      <c r="J432" s="13"/>
      <c r="K432" s="13"/>
      <c r="L432" s="13"/>
      <c r="M432" s="13"/>
      <c r="N432" s="13"/>
      <c r="O432" s="13"/>
      <c r="P432" s="13"/>
    </row>
    <row r="433" spans="1:16" ht="12">
      <c r="A433" s="13"/>
      <c r="B433" s="13"/>
      <c r="C433" s="13"/>
      <c r="D433" s="13"/>
      <c r="E433" s="13"/>
      <c r="F433" s="13"/>
      <c r="G433" s="13"/>
      <c r="H433" s="13"/>
      <c r="I433" s="13"/>
      <c r="J433" s="13"/>
      <c r="K433" s="13"/>
      <c r="L433" s="13"/>
      <c r="M433" s="13"/>
      <c r="N433" s="13"/>
      <c r="O433" s="13"/>
      <c r="P433" s="13"/>
    </row>
    <row r="434" spans="1:16" ht="12">
      <c r="A434" s="13"/>
      <c r="B434" s="13"/>
      <c r="C434" s="13"/>
      <c r="D434" s="13"/>
      <c r="E434" s="13"/>
      <c r="F434" s="13"/>
      <c r="G434" s="13"/>
      <c r="H434" s="13"/>
      <c r="I434" s="13"/>
      <c r="J434" s="13"/>
      <c r="K434" s="13"/>
      <c r="L434" s="13"/>
      <c r="M434" s="13"/>
      <c r="N434" s="13"/>
      <c r="O434" s="13"/>
      <c r="P434" s="13"/>
    </row>
    <row r="435" spans="1:16" ht="12">
      <c r="A435" s="13"/>
      <c r="B435" s="13"/>
      <c r="C435" s="13"/>
      <c r="D435" s="13"/>
      <c r="E435" s="13"/>
      <c r="F435" s="13"/>
      <c r="G435" s="13"/>
      <c r="H435" s="13"/>
      <c r="I435" s="13"/>
      <c r="J435" s="13"/>
      <c r="K435" s="13"/>
      <c r="L435" s="13"/>
      <c r="M435" s="13"/>
      <c r="N435" s="13"/>
      <c r="O435" s="13"/>
      <c r="P435" s="13"/>
    </row>
    <row r="436" spans="1:16" ht="12">
      <c r="A436" s="13"/>
      <c r="B436" s="13"/>
      <c r="C436" s="13"/>
      <c r="D436" s="13"/>
      <c r="E436" s="13"/>
      <c r="F436" s="13"/>
      <c r="G436" s="13"/>
      <c r="H436" s="13"/>
      <c r="I436" s="13"/>
      <c r="J436" s="13"/>
      <c r="K436" s="13"/>
      <c r="L436" s="13"/>
      <c r="M436" s="13"/>
      <c r="N436" s="13"/>
      <c r="O436" s="13"/>
      <c r="P436" s="13"/>
    </row>
    <row r="437" spans="1:16" ht="12">
      <c r="A437" s="13"/>
      <c r="B437" s="13"/>
      <c r="C437" s="13"/>
      <c r="D437" s="13"/>
      <c r="E437" s="13"/>
      <c r="F437" s="13"/>
      <c r="G437" s="13"/>
      <c r="H437" s="13"/>
      <c r="I437" s="13"/>
      <c r="J437" s="13"/>
      <c r="K437" s="13"/>
      <c r="L437" s="13"/>
      <c r="M437" s="13"/>
      <c r="N437" s="13"/>
      <c r="O437" s="13"/>
      <c r="P437" s="13"/>
    </row>
    <row r="438" spans="1:16" ht="12">
      <c r="A438" s="13"/>
      <c r="B438" s="13"/>
      <c r="C438" s="13"/>
      <c r="D438" s="13"/>
      <c r="E438" s="13"/>
      <c r="F438" s="13"/>
      <c r="G438" s="13"/>
      <c r="H438" s="13"/>
      <c r="I438" s="13"/>
      <c r="J438" s="13"/>
      <c r="K438" s="13"/>
      <c r="L438" s="13"/>
      <c r="M438" s="13"/>
      <c r="N438" s="13"/>
      <c r="O438" s="13"/>
      <c r="P438" s="13"/>
    </row>
    <row r="439" spans="1:16" ht="12">
      <c r="A439" s="13"/>
      <c r="B439" s="13"/>
      <c r="C439" s="13"/>
      <c r="D439" s="13"/>
      <c r="E439" s="13"/>
      <c r="F439" s="13"/>
      <c r="G439" s="13"/>
      <c r="H439" s="13"/>
      <c r="I439" s="13"/>
      <c r="J439" s="13"/>
      <c r="K439" s="13"/>
      <c r="L439" s="13"/>
      <c r="M439" s="13"/>
      <c r="N439" s="13"/>
      <c r="O439" s="13"/>
      <c r="P439" s="13"/>
    </row>
    <row r="440" spans="1:16" ht="12">
      <c r="A440" s="13"/>
      <c r="B440" s="13"/>
      <c r="C440" s="13"/>
      <c r="D440" s="13"/>
      <c r="E440" s="13"/>
      <c r="F440" s="13"/>
      <c r="G440" s="13"/>
      <c r="H440" s="13"/>
      <c r="I440" s="13"/>
      <c r="J440" s="13"/>
      <c r="K440" s="13"/>
      <c r="L440" s="13"/>
      <c r="M440" s="13"/>
      <c r="N440" s="13"/>
      <c r="O440" s="13"/>
      <c r="P440" s="13"/>
    </row>
    <row r="441" spans="1:16" ht="12">
      <c r="A441" s="13"/>
      <c r="B441" s="13"/>
      <c r="C441" s="13"/>
      <c r="D441" s="13"/>
      <c r="E441" s="13"/>
      <c r="F441" s="13"/>
      <c r="G441" s="13"/>
      <c r="H441" s="13"/>
      <c r="I441" s="13"/>
      <c r="J441" s="13"/>
      <c r="K441" s="13"/>
      <c r="L441" s="13"/>
      <c r="M441" s="13"/>
      <c r="N441" s="13"/>
      <c r="O441" s="13"/>
      <c r="P441" s="13"/>
    </row>
    <row r="442" spans="1:16" ht="12">
      <c r="A442" s="13"/>
      <c r="B442" s="13"/>
      <c r="C442" s="13"/>
      <c r="D442" s="13"/>
      <c r="E442" s="13"/>
      <c r="F442" s="13"/>
      <c r="G442" s="13"/>
      <c r="H442" s="13"/>
      <c r="I442" s="13"/>
      <c r="J442" s="13"/>
      <c r="K442" s="13"/>
      <c r="L442" s="13"/>
      <c r="M442" s="13"/>
      <c r="N442" s="13"/>
      <c r="O442" s="13"/>
      <c r="P442" s="13"/>
    </row>
    <row r="443" spans="1:16" ht="12">
      <c r="A443" s="13"/>
      <c r="B443" s="13"/>
      <c r="C443" s="13"/>
      <c r="D443" s="13"/>
      <c r="E443" s="13"/>
      <c r="F443" s="13"/>
      <c r="G443" s="13"/>
      <c r="H443" s="13"/>
      <c r="I443" s="13"/>
      <c r="J443" s="13"/>
      <c r="K443" s="13"/>
      <c r="L443" s="13"/>
      <c r="M443" s="13"/>
      <c r="N443" s="13"/>
      <c r="O443" s="13"/>
      <c r="P443" s="13"/>
    </row>
    <row r="444" spans="1:16" ht="12">
      <c r="A444" s="13"/>
      <c r="B444" s="13"/>
      <c r="C444" s="13"/>
      <c r="D444" s="13"/>
      <c r="E444" s="13"/>
      <c r="F444" s="13"/>
      <c r="G444" s="13"/>
      <c r="H444" s="13"/>
      <c r="I444" s="13"/>
      <c r="J444" s="13"/>
      <c r="K444" s="13"/>
      <c r="L444" s="13"/>
      <c r="M444" s="13"/>
      <c r="N444" s="13"/>
      <c r="O444" s="13"/>
      <c r="P444" s="13"/>
    </row>
    <row r="445" spans="1:16" ht="12">
      <c r="A445" s="13"/>
      <c r="B445" s="13"/>
      <c r="C445" s="13"/>
      <c r="D445" s="13"/>
      <c r="E445" s="13"/>
      <c r="F445" s="13"/>
      <c r="G445" s="13"/>
      <c r="H445" s="13"/>
      <c r="I445" s="13"/>
      <c r="J445" s="13"/>
      <c r="K445" s="13"/>
      <c r="L445" s="13"/>
      <c r="M445" s="13"/>
      <c r="N445" s="13"/>
      <c r="O445" s="13"/>
      <c r="P445" s="13"/>
    </row>
    <row r="446" spans="1:16" ht="12">
      <c r="A446" s="13"/>
      <c r="B446" s="13"/>
      <c r="C446" s="13"/>
      <c r="D446" s="13"/>
      <c r="E446" s="13"/>
      <c r="F446" s="13"/>
      <c r="G446" s="13"/>
      <c r="H446" s="13"/>
      <c r="I446" s="13"/>
      <c r="J446" s="13"/>
      <c r="K446" s="13"/>
      <c r="L446" s="13"/>
      <c r="M446" s="13"/>
      <c r="N446" s="13"/>
      <c r="O446" s="13"/>
      <c r="P446" s="13"/>
    </row>
    <row r="447" spans="1:16" ht="12">
      <c r="A447" s="13"/>
      <c r="B447" s="13"/>
      <c r="C447" s="13"/>
      <c r="D447" s="13"/>
      <c r="E447" s="13"/>
      <c r="F447" s="13"/>
      <c r="G447" s="13"/>
      <c r="H447" s="13"/>
      <c r="I447" s="13"/>
      <c r="J447" s="13"/>
      <c r="K447" s="13"/>
      <c r="L447" s="13"/>
      <c r="M447" s="13"/>
      <c r="N447" s="13"/>
      <c r="O447" s="13"/>
      <c r="P447" s="13"/>
    </row>
    <row r="448" spans="1:16" ht="12">
      <c r="A448" s="13"/>
      <c r="B448" s="13"/>
      <c r="C448" s="13"/>
      <c r="D448" s="13"/>
      <c r="E448" s="13"/>
      <c r="F448" s="13"/>
      <c r="G448" s="13"/>
      <c r="H448" s="13"/>
      <c r="I448" s="13"/>
      <c r="J448" s="13"/>
      <c r="K448" s="13"/>
      <c r="L448" s="13"/>
      <c r="M448" s="13"/>
      <c r="N448" s="13"/>
      <c r="O448" s="13"/>
      <c r="P448" s="13"/>
    </row>
    <row r="449" spans="1:16" ht="12">
      <c r="A449" s="13"/>
      <c r="B449" s="13"/>
      <c r="C449" s="13"/>
      <c r="D449" s="13"/>
      <c r="E449" s="13"/>
      <c r="F449" s="13"/>
      <c r="G449" s="13"/>
      <c r="H449" s="13"/>
      <c r="I449" s="13"/>
      <c r="J449" s="13"/>
      <c r="K449" s="13"/>
      <c r="L449" s="13"/>
      <c r="M449" s="13"/>
      <c r="N449" s="13"/>
      <c r="O449" s="13"/>
      <c r="P449" s="13"/>
    </row>
    <row r="450" spans="1:16" ht="12">
      <c r="A450" s="13"/>
      <c r="B450" s="13"/>
      <c r="C450" s="13"/>
      <c r="D450" s="13"/>
      <c r="E450" s="13"/>
      <c r="F450" s="13"/>
      <c r="G450" s="13"/>
      <c r="H450" s="13"/>
      <c r="I450" s="13"/>
      <c r="J450" s="13"/>
      <c r="K450" s="13"/>
      <c r="L450" s="13"/>
      <c r="M450" s="13"/>
      <c r="N450" s="13"/>
      <c r="O450" s="13"/>
      <c r="P450" s="13"/>
    </row>
    <row r="451" spans="1:16" ht="12">
      <c r="A451" s="13"/>
      <c r="B451" s="13"/>
      <c r="C451" s="13"/>
      <c r="D451" s="13"/>
      <c r="E451" s="13"/>
      <c r="F451" s="13"/>
      <c r="G451" s="13"/>
      <c r="H451" s="13"/>
      <c r="I451" s="13"/>
      <c r="J451" s="13"/>
      <c r="K451" s="13"/>
      <c r="L451" s="13"/>
      <c r="M451" s="13"/>
      <c r="N451" s="13"/>
      <c r="O451" s="13"/>
      <c r="P451" s="13"/>
    </row>
    <row r="452" spans="1:16" ht="12">
      <c r="A452" s="13"/>
      <c r="B452" s="13"/>
      <c r="C452" s="13"/>
      <c r="D452" s="13"/>
      <c r="E452" s="13"/>
      <c r="F452" s="13"/>
      <c r="G452" s="13"/>
      <c r="H452" s="13"/>
      <c r="I452" s="13"/>
      <c r="J452" s="13"/>
      <c r="K452" s="13"/>
      <c r="L452" s="13"/>
      <c r="M452" s="13"/>
      <c r="N452" s="13"/>
      <c r="O452" s="13"/>
      <c r="P452" s="13"/>
    </row>
    <row r="453" spans="1:16" ht="12">
      <c r="A453" s="13"/>
      <c r="B453" s="13"/>
      <c r="C453" s="13"/>
      <c r="D453" s="13"/>
      <c r="E453" s="13"/>
      <c r="F453" s="13"/>
      <c r="G453" s="13"/>
      <c r="H453" s="13"/>
      <c r="I453" s="13"/>
      <c r="J453" s="13"/>
      <c r="K453" s="13"/>
      <c r="L453" s="13"/>
      <c r="M453" s="13"/>
      <c r="N453" s="13"/>
      <c r="O453" s="13"/>
      <c r="P453" s="13"/>
    </row>
    <row r="454" spans="1:16" ht="12">
      <c r="A454" s="13"/>
      <c r="B454" s="13"/>
      <c r="C454" s="13"/>
      <c r="D454" s="13"/>
      <c r="E454" s="13"/>
      <c r="F454" s="13"/>
      <c r="G454" s="13"/>
      <c r="H454" s="13"/>
      <c r="I454" s="13"/>
      <c r="J454" s="13"/>
      <c r="K454" s="13"/>
      <c r="L454" s="13"/>
      <c r="M454" s="13"/>
      <c r="N454" s="13"/>
      <c r="O454" s="13"/>
      <c r="P454" s="13"/>
    </row>
    <row r="455" spans="1:16" ht="12">
      <c r="A455" s="13"/>
      <c r="B455" s="13"/>
      <c r="C455" s="13"/>
      <c r="D455" s="13"/>
      <c r="E455" s="13"/>
      <c r="F455" s="13"/>
      <c r="G455" s="13"/>
      <c r="H455" s="13"/>
      <c r="I455" s="13"/>
      <c r="J455" s="13"/>
      <c r="K455" s="13"/>
      <c r="L455" s="13"/>
      <c r="M455" s="13"/>
      <c r="N455" s="13"/>
      <c r="O455" s="13"/>
      <c r="P455" s="13"/>
    </row>
    <row r="456" spans="1:16" ht="12">
      <c r="A456" s="13"/>
      <c r="B456" s="13"/>
      <c r="C456" s="13"/>
      <c r="D456" s="13"/>
      <c r="E456" s="13"/>
      <c r="F456" s="13"/>
      <c r="G456" s="13"/>
      <c r="H456" s="13"/>
      <c r="I456" s="13"/>
      <c r="J456" s="13"/>
      <c r="K456" s="13"/>
      <c r="L456" s="13"/>
      <c r="M456" s="13"/>
      <c r="N456" s="13"/>
      <c r="O456" s="13"/>
      <c r="P456" s="13"/>
    </row>
    <row r="457" spans="1:16" ht="12">
      <c r="A457" s="13"/>
      <c r="B457" s="13"/>
      <c r="C457" s="13"/>
      <c r="D457" s="13"/>
      <c r="E457" s="13"/>
      <c r="F457" s="13"/>
      <c r="G457" s="13"/>
      <c r="H457" s="13"/>
      <c r="I457" s="13"/>
      <c r="J457" s="13"/>
      <c r="K457" s="13"/>
      <c r="L457" s="13"/>
      <c r="M457" s="13"/>
      <c r="N457" s="13"/>
      <c r="O457" s="13"/>
      <c r="P457" s="13"/>
    </row>
    <row r="458" spans="1:16" ht="12">
      <c r="A458" s="13"/>
      <c r="B458" s="13"/>
      <c r="C458" s="13"/>
      <c r="D458" s="13"/>
      <c r="E458" s="13"/>
      <c r="F458" s="13"/>
      <c r="G458" s="13"/>
      <c r="H458" s="13"/>
      <c r="I458" s="13"/>
      <c r="J458" s="13"/>
      <c r="K458" s="13"/>
      <c r="L458" s="13"/>
      <c r="M458" s="13"/>
      <c r="N458" s="13"/>
      <c r="O458" s="13"/>
      <c r="P458" s="13"/>
    </row>
    <row r="459" spans="1:16" ht="12">
      <c r="A459" s="13"/>
      <c r="B459" s="13"/>
      <c r="C459" s="13"/>
      <c r="D459" s="13"/>
      <c r="E459" s="13"/>
      <c r="F459" s="13"/>
      <c r="G459" s="13"/>
      <c r="H459" s="13"/>
      <c r="I459" s="13"/>
      <c r="J459" s="13"/>
      <c r="K459" s="13"/>
      <c r="L459" s="13"/>
      <c r="M459" s="13"/>
      <c r="N459" s="13"/>
      <c r="O459" s="13"/>
      <c r="P459" s="13"/>
    </row>
    <row r="460" spans="1:16" ht="12">
      <c r="A460" s="13"/>
      <c r="B460" s="13"/>
      <c r="C460" s="13"/>
      <c r="D460" s="13"/>
      <c r="E460" s="13"/>
      <c r="F460" s="13"/>
      <c r="G460" s="13"/>
      <c r="H460" s="13"/>
      <c r="I460" s="13"/>
      <c r="J460" s="13"/>
      <c r="K460" s="13"/>
      <c r="L460" s="13"/>
      <c r="M460" s="13"/>
      <c r="N460" s="13"/>
      <c r="O460" s="13"/>
      <c r="P460" s="13"/>
    </row>
    <row r="461" spans="1:16" ht="12">
      <c r="A461" s="13"/>
      <c r="B461" s="13"/>
      <c r="C461" s="13"/>
      <c r="D461" s="13"/>
      <c r="E461" s="13"/>
      <c r="F461" s="13"/>
      <c r="G461" s="13"/>
      <c r="H461" s="13"/>
      <c r="I461" s="13"/>
      <c r="J461" s="13"/>
      <c r="K461" s="13"/>
      <c r="L461" s="13"/>
      <c r="M461" s="13"/>
      <c r="N461" s="13"/>
      <c r="O461" s="13"/>
      <c r="P461" s="13"/>
    </row>
    <row r="462" spans="1:16" ht="12">
      <c r="A462" s="13"/>
      <c r="B462" s="13"/>
      <c r="C462" s="13"/>
      <c r="D462" s="13"/>
      <c r="E462" s="13"/>
      <c r="F462" s="13"/>
      <c r="G462" s="13"/>
      <c r="H462" s="13"/>
      <c r="I462" s="13"/>
      <c r="J462" s="13"/>
      <c r="K462" s="13"/>
      <c r="L462" s="13"/>
      <c r="M462" s="13"/>
      <c r="N462" s="13"/>
      <c r="O462" s="13"/>
      <c r="P462" s="13"/>
    </row>
    <row r="463" spans="1:16" ht="12">
      <c r="A463" s="13"/>
      <c r="B463" s="13"/>
      <c r="C463" s="13"/>
      <c r="D463" s="13"/>
      <c r="E463" s="13"/>
      <c r="F463" s="13"/>
      <c r="G463" s="13"/>
      <c r="H463" s="13"/>
      <c r="I463" s="13"/>
      <c r="J463" s="13"/>
      <c r="K463" s="13"/>
      <c r="L463" s="13"/>
      <c r="M463" s="13"/>
      <c r="N463" s="13"/>
      <c r="O463" s="13"/>
      <c r="P463" s="13"/>
    </row>
    <row r="464" spans="1:16" ht="12">
      <c r="A464" s="13"/>
      <c r="B464" s="13"/>
      <c r="C464" s="13"/>
      <c r="D464" s="13"/>
      <c r="E464" s="13"/>
      <c r="F464" s="13"/>
      <c r="G464" s="13"/>
      <c r="H464" s="13"/>
      <c r="I464" s="13"/>
      <c r="J464" s="13"/>
      <c r="K464" s="13"/>
      <c r="L464" s="13"/>
      <c r="M464" s="13"/>
      <c r="N464" s="13"/>
      <c r="O464" s="13"/>
      <c r="P464" s="13"/>
    </row>
    <row r="465" spans="1:16" ht="12">
      <c r="A465" s="13"/>
      <c r="B465" s="13"/>
      <c r="C465" s="13"/>
      <c r="D465" s="13"/>
      <c r="E465" s="13"/>
      <c r="F465" s="13"/>
      <c r="G465" s="13"/>
      <c r="H465" s="13"/>
      <c r="I465" s="13"/>
      <c r="J465" s="13"/>
      <c r="K465" s="13"/>
      <c r="L465" s="13"/>
      <c r="M465" s="13"/>
      <c r="N465" s="13"/>
      <c r="O465" s="13"/>
      <c r="P465" s="13"/>
    </row>
    <row r="466" spans="1:16" ht="12">
      <c r="A466" s="13"/>
      <c r="B466" s="13"/>
      <c r="C466" s="13"/>
      <c r="D466" s="13"/>
      <c r="E466" s="13"/>
      <c r="F466" s="13"/>
      <c r="G466" s="13"/>
      <c r="H466" s="13"/>
      <c r="I466" s="13"/>
      <c r="J466" s="13"/>
      <c r="K466" s="13"/>
      <c r="L466" s="13"/>
      <c r="M466" s="13"/>
      <c r="N466" s="13"/>
      <c r="O466" s="13"/>
      <c r="P466" s="13"/>
    </row>
    <row r="467" spans="1:16" ht="12">
      <c r="A467" s="13"/>
      <c r="B467" s="13"/>
      <c r="C467" s="13"/>
      <c r="D467" s="13"/>
      <c r="E467" s="13"/>
      <c r="F467" s="13"/>
      <c r="G467" s="13"/>
      <c r="H467" s="13"/>
      <c r="I467" s="13"/>
      <c r="J467" s="13"/>
      <c r="K467" s="13"/>
      <c r="L467" s="13"/>
      <c r="M467" s="13"/>
      <c r="N467" s="13"/>
      <c r="O467" s="13"/>
      <c r="P467" s="13"/>
    </row>
    <row r="468" spans="1:16" ht="12">
      <c r="A468" s="13"/>
      <c r="B468" s="13"/>
      <c r="C468" s="13"/>
      <c r="D468" s="13"/>
      <c r="E468" s="13"/>
      <c r="F468" s="13"/>
      <c r="G468" s="13"/>
      <c r="H468" s="13"/>
      <c r="I468" s="13"/>
      <c r="J468" s="13"/>
      <c r="K468" s="13"/>
      <c r="L468" s="13"/>
      <c r="M468" s="13"/>
      <c r="N468" s="13"/>
      <c r="O468" s="13"/>
      <c r="P468" s="13"/>
    </row>
    <row r="469" spans="1:16" ht="12">
      <c r="A469" s="13"/>
      <c r="B469" s="13"/>
      <c r="C469" s="13"/>
      <c r="D469" s="13"/>
      <c r="E469" s="13"/>
      <c r="F469" s="13"/>
      <c r="G469" s="13"/>
      <c r="H469" s="13"/>
      <c r="I469" s="13"/>
      <c r="J469" s="13"/>
      <c r="K469" s="13"/>
      <c r="L469" s="13"/>
      <c r="M469" s="13"/>
      <c r="N469" s="13"/>
      <c r="O469" s="13"/>
      <c r="P469" s="13"/>
    </row>
    <row r="470" spans="1:16" ht="12">
      <c r="A470" s="13"/>
      <c r="B470" s="13"/>
      <c r="C470" s="13"/>
      <c r="D470" s="13"/>
      <c r="E470" s="13"/>
      <c r="F470" s="13"/>
      <c r="G470" s="13"/>
      <c r="H470" s="13"/>
      <c r="I470" s="13"/>
      <c r="J470" s="13"/>
      <c r="K470" s="13"/>
      <c r="L470" s="13"/>
      <c r="M470" s="13"/>
      <c r="N470" s="13"/>
      <c r="O470" s="13"/>
      <c r="P470" s="13"/>
    </row>
    <row r="471" spans="1:16" ht="12">
      <c r="A471" s="13"/>
      <c r="B471" s="13"/>
      <c r="C471" s="13"/>
      <c r="D471" s="13"/>
      <c r="E471" s="13"/>
      <c r="F471" s="13"/>
      <c r="G471" s="13"/>
      <c r="H471" s="13"/>
      <c r="I471" s="13"/>
      <c r="J471" s="13"/>
      <c r="K471" s="13"/>
      <c r="L471" s="13"/>
      <c r="M471" s="13"/>
      <c r="N471" s="13"/>
      <c r="O471" s="13"/>
      <c r="P471" s="13"/>
    </row>
    <row r="472" spans="1:16" ht="12">
      <c r="A472" s="13"/>
      <c r="B472" s="13"/>
      <c r="C472" s="13"/>
      <c r="D472" s="13"/>
      <c r="E472" s="13"/>
      <c r="F472" s="13"/>
      <c r="G472" s="13"/>
      <c r="H472" s="13"/>
      <c r="I472" s="13"/>
      <c r="J472" s="13"/>
      <c r="K472" s="13"/>
      <c r="L472" s="13"/>
      <c r="M472" s="13"/>
      <c r="N472" s="13"/>
      <c r="O472" s="13"/>
      <c r="P472" s="13"/>
    </row>
    <row r="473" spans="1:16" ht="12">
      <c r="A473" s="13"/>
      <c r="B473" s="13"/>
      <c r="C473" s="13"/>
      <c r="D473" s="13"/>
      <c r="E473" s="13"/>
      <c r="F473" s="13"/>
      <c r="G473" s="13"/>
      <c r="H473" s="13"/>
      <c r="I473" s="13"/>
      <c r="J473" s="13"/>
      <c r="K473" s="13"/>
      <c r="L473" s="13"/>
      <c r="M473" s="13"/>
      <c r="N473" s="13"/>
      <c r="O473" s="13"/>
      <c r="P473" s="13"/>
    </row>
    <row r="474" spans="1:16" ht="12">
      <c r="A474" s="13"/>
      <c r="B474" s="13"/>
      <c r="C474" s="13"/>
      <c r="D474" s="13"/>
      <c r="E474" s="13"/>
      <c r="F474" s="13"/>
      <c r="G474" s="13"/>
      <c r="H474" s="13"/>
      <c r="I474" s="13"/>
      <c r="J474" s="13"/>
      <c r="K474" s="13"/>
      <c r="L474" s="13"/>
      <c r="M474" s="13"/>
      <c r="N474" s="13"/>
      <c r="O474" s="13"/>
      <c r="P474" s="13"/>
    </row>
    <row r="475" spans="1:16" ht="12">
      <c r="A475" s="13"/>
      <c r="B475" s="13"/>
      <c r="C475" s="13"/>
      <c r="D475" s="13"/>
      <c r="E475" s="13"/>
      <c r="F475" s="13"/>
      <c r="G475" s="13"/>
      <c r="H475" s="13"/>
      <c r="I475" s="13"/>
      <c r="J475" s="13"/>
      <c r="K475" s="13"/>
      <c r="L475" s="13"/>
      <c r="M475" s="13"/>
      <c r="N475" s="13"/>
      <c r="O475" s="13"/>
      <c r="P475" s="13"/>
    </row>
    <row r="476" spans="1:16" ht="12">
      <c r="A476" s="13"/>
      <c r="B476" s="13"/>
      <c r="C476" s="13"/>
      <c r="D476" s="13"/>
      <c r="E476" s="13"/>
      <c r="F476" s="13"/>
      <c r="G476" s="13"/>
      <c r="H476" s="13"/>
      <c r="I476" s="13"/>
      <c r="J476" s="13"/>
      <c r="K476" s="13"/>
      <c r="L476" s="13"/>
      <c r="M476" s="13"/>
      <c r="N476" s="13"/>
      <c r="O476" s="13"/>
      <c r="P476" s="13"/>
    </row>
    <row r="477" spans="1:16" ht="12">
      <c r="A477" s="13"/>
      <c r="B477" s="13"/>
      <c r="C477" s="13"/>
      <c r="D477" s="13"/>
      <c r="E477" s="13"/>
      <c r="F477" s="13"/>
      <c r="G477" s="13"/>
      <c r="H477" s="13"/>
      <c r="I477" s="13"/>
      <c r="J477" s="13"/>
      <c r="K477" s="13"/>
      <c r="L477" s="13"/>
      <c r="M477" s="13"/>
      <c r="N477" s="13"/>
      <c r="O477" s="13"/>
      <c r="P477" s="13"/>
    </row>
    <row r="478" spans="1:16" ht="12">
      <c r="A478" s="13"/>
      <c r="B478" s="13"/>
      <c r="C478" s="13"/>
      <c r="D478" s="13"/>
      <c r="E478" s="13"/>
      <c r="F478" s="13"/>
      <c r="G478" s="13"/>
      <c r="H478" s="13"/>
      <c r="I478" s="13"/>
      <c r="J478" s="13"/>
      <c r="K478" s="13"/>
      <c r="L478" s="13"/>
      <c r="M478" s="13"/>
      <c r="N478" s="13"/>
      <c r="O478" s="13"/>
      <c r="P478" s="13"/>
    </row>
    <row r="479" spans="1:16" ht="12">
      <c r="A479" s="13"/>
      <c r="B479" s="13"/>
      <c r="C479" s="13"/>
      <c r="D479" s="13"/>
      <c r="E479" s="13"/>
      <c r="F479" s="13"/>
      <c r="G479" s="13"/>
      <c r="H479" s="13"/>
      <c r="I479" s="13"/>
      <c r="J479" s="13"/>
      <c r="K479" s="13"/>
      <c r="L479" s="13"/>
      <c r="M479" s="13"/>
      <c r="N479" s="13"/>
      <c r="O479" s="13"/>
      <c r="P479" s="13"/>
    </row>
    <row r="480" spans="1:16" ht="12">
      <c r="A480" s="13"/>
      <c r="B480" s="13"/>
      <c r="C480" s="13"/>
      <c r="D480" s="13"/>
      <c r="E480" s="13"/>
      <c r="F480" s="13"/>
      <c r="G480" s="13"/>
      <c r="H480" s="13"/>
      <c r="I480" s="13"/>
      <c r="J480" s="13"/>
      <c r="K480" s="13"/>
      <c r="L480" s="13"/>
      <c r="M480" s="13"/>
      <c r="N480" s="13"/>
      <c r="O480" s="13"/>
      <c r="P480" s="13"/>
    </row>
    <row r="481" spans="1:16" ht="12">
      <c r="A481" s="13"/>
      <c r="B481" s="13"/>
      <c r="C481" s="13"/>
      <c r="D481" s="13"/>
      <c r="E481" s="13"/>
      <c r="F481" s="13"/>
      <c r="G481" s="13"/>
      <c r="H481" s="13"/>
      <c r="I481" s="13"/>
      <c r="J481" s="13"/>
      <c r="K481" s="13"/>
      <c r="L481" s="13"/>
      <c r="M481" s="13"/>
      <c r="N481" s="13"/>
      <c r="O481" s="13"/>
      <c r="P481" s="13"/>
    </row>
    <row r="482" spans="1:16" ht="12">
      <c r="A482" s="13"/>
      <c r="B482" s="13"/>
      <c r="C482" s="13"/>
      <c r="D482" s="13"/>
      <c r="E482" s="13"/>
      <c r="F482" s="13"/>
      <c r="G482" s="13"/>
      <c r="H482" s="13"/>
      <c r="I482" s="13"/>
      <c r="J482" s="13"/>
      <c r="K482" s="13"/>
      <c r="L482" s="13"/>
      <c r="M482" s="13"/>
      <c r="N482" s="13"/>
      <c r="O482" s="13"/>
      <c r="P482" s="13"/>
    </row>
    <row r="483" spans="1:16" ht="12">
      <c r="A483" s="13"/>
      <c r="B483" s="13"/>
      <c r="C483" s="13"/>
      <c r="D483" s="13"/>
      <c r="E483" s="13"/>
      <c r="F483" s="13"/>
      <c r="G483" s="13"/>
      <c r="H483" s="13"/>
      <c r="I483" s="13"/>
      <c r="J483" s="13"/>
      <c r="K483" s="13"/>
      <c r="L483" s="13"/>
      <c r="M483" s="13"/>
      <c r="N483" s="13"/>
      <c r="O483" s="13"/>
      <c r="P483" s="13"/>
    </row>
    <row r="484" spans="1:16" ht="12">
      <c r="A484" s="13"/>
      <c r="B484" s="13"/>
      <c r="C484" s="13"/>
      <c r="D484" s="13"/>
      <c r="E484" s="13"/>
      <c r="F484" s="13"/>
      <c r="G484" s="13"/>
      <c r="H484" s="13"/>
      <c r="I484" s="13"/>
      <c r="J484" s="13"/>
      <c r="K484" s="13"/>
      <c r="L484" s="13"/>
      <c r="M484" s="13"/>
      <c r="N484" s="13"/>
      <c r="O484" s="13"/>
      <c r="P484" s="13"/>
    </row>
    <row r="485" spans="1:16" ht="12">
      <c r="A485" s="13"/>
      <c r="B485" s="13"/>
      <c r="C485" s="13"/>
      <c r="D485" s="13"/>
      <c r="E485" s="13"/>
      <c r="F485" s="13"/>
      <c r="G485" s="13"/>
      <c r="H485" s="13"/>
      <c r="I485" s="13"/>
      <c r="J485" s="13"/>
      <c r="K485" s="13"/>
      <c r="L485" s="13"/>
      <c r="M485" s="13"/>
      <c r="N485" s="13"/>
      <c r="O485" s="13"/>
      <c r="P485" s="13"/>
    </row>
    <row r="486" spans="1:16" ht="12">
      <c r="A486" s="13"/>
      <c r="B486" s="13"/>
      <c r="C486" s="13"/>
      <c r="D486" s="13"/>
      <c r="E486" s="13"/>
      <c r="F486" s="13"/>
      <c r="G486" s="13"/>
      <c r="H486" s="13"/>
      <c r="I486" s="13"/>
      <c r="J486" s="13"/>
      <c r="K486" s="13"/>
      <c r="L486" s="13"/>
      <c r="M486" s="13"/>
      <c r="N486" s="13"/>
      <c r="O486" s="13"/>
      <c r="P486" s="13"/>
    </row>
    <row r="487" spans="1:16" ht="12">
      <c r="A487" s="13"/>
      <c r="B487" s="13"/>
      <c r="C487" s="13"/>
      <c r="D487" s="13"/>
      <c r="E487" s="13"/>
      <c r="F487" s="13"/>
      <c r="G487" s="13"/>
      <c r="H487" s="13"/>
      <c r="I487" s="13"/>
      <c r="J487" s="13"/>
      <c r="K487" s="13"/>
      <c r="L487" s="13"/>
      <c r="M487" s="13"/>
      <c r="N487" s="13"/>
      <c r="O487" s="13"/>
      <c r="P487" s="13"/>
    </row>
    <row r="488" spans="1:16" ht="12">
      <c r="A488" s="13"/>
      <c r="B488" s="13"/>
      <c r="C488" s="13"/>
      <c r="D488" s="13"/>
      <c r="E488" s="13"/>
      <c r="F488" s="13"/>
      <c r="G488" s="13"/>
      <c r="H488" s="13"/>
      <c r="I488" s="13"/>
      <c r="J488" s="13"/>
      <c r="K488" s="13"/>
      <c r="L488" s="13"/>
      <c r="M488" s="13"/>
      <c r="N488" s="13"/>
      <c r="O488" s="13"/>
      <c r="P488" s="13"/>
    </row>
    <row r="489" spans="1:16" ht="12">
      <c r="A489" s="13"/>
      <c r="B489" s="13"/>
      <c r="C489" s="13"/>
      <c r="D489" s="13"/>
      <c r="E489" s="13"/>
      <c r="F489" s="13"/>
      <c r="G489" s="13"/>
      <c r="H489" s="13"/>
      <c r="I489" s="13"/>
      <c r="J489" s="13"/>
      <c r="K489" s="13"/>
      <c r="L489" s="13"/>
      <c r="M489" s="13"/>
      <c r="N489" s="13"/>
      <c r="O489" s="13"/>
      <c r="P489" s="13"/>
    </row>
    <row r="490" spans="1:16" ht="12">
      <c r="A490" s="13"/>
      <c r="B490" s="13"/>
      <c r="C490" s="13"/>
      <c r="D490" s="13"/>
      <c r="E490" s="13"/>
      <c r="F490" s="13"/>
      <c r="G490" s="13"/>
      <c r="H490" s="13"/>
      <c r="I490" s="13"/>
      <c r="J490" s="13"/>
      <c r="K490" s="13"/>
      <c r="L490" s="13"/>
      <c r="M490" s="13"/>
      <c r="N490" s="13"/>
      <c r="O490" s="13"/>
      <c r="P490" s="13"/>
    </row>
    <row r="491" spans="1:16" ht="12">
      <c r="A491" s="13"/>
      <c r="B491" s="13"/>
      <c r="C491" s="13"/>
      <c r="D491" s="13"/>
      <c r="E491" s="13"/>
      <c r="F491" s="13"/>
      <c r="G491" s="13"/>
      <c r="H491" s="13"/>
      <c r="I491" s="13"/>
      <c r="J491" s="13"/>
      <c r="K491" s="13"/>
      <c r="L491" s="13"/>
      <c r="M491" s="13"/>
      <c r="N491" s="13"/>
      <c r="O491" s="13"/>
      <c r="P491" s="13"/>
    </row>
    <row r="492" spans="1:16" ht="12">
      <c r="A492" s="13"/>
      <c r="B492" s="13"/>
      <c r="C492" s="13"/>
      <c r="D492" s="13"/>
      <c r="E492" s="13"/>
      <c r="F492" s="13"/>
      <c r="G492" s="13"/>
      <c r="H492" s="13"/>
      <c r="I492" s="13"/>
      <c r="J492" s="13"/>
      <c r="K492" s="13"/>
      <c r="L492" s="13"/>
      <c r="M492" s="13"/>
      <c r="N492" s="13"/>
      <c r="O492" s="13"/>
      <c r="P492" s="13"/>
    </row>
    <row r="493" spans="1:16" ht="12">
      <c r="A493" s="13"/>
      <c r="B493" s="13"/>
      <c r="C493" s="13"/>
      <c r="D493" s="13"/>
      <c r="E493" s="13"/>
      <c r="F493" s="13"/>
      <c r="G493" s="13"/>
      <c r="H493" s="13"/>
      <c r="I493" s="13"/>
      <c r="J493" s="13"/>
      <c r="K493" s="13"/>
      <c r="L493" s="13"/>
      <c r="M493" s="13"/>
      <c r="N493" s="13"/>
      <c r="O493" s="13"/>
      <c r="P493" s="13"/>
    </row>
    <row r="494" spans="1:16" ht="12">
      <c r="A494" s="13"/>
      <c r="B494" s="13"/>
      <c r="C494" s="13"/>
      <c r="D494" s="13"/>
      <c r="E494" s="13"/>
      <c r="F494" s="13"/>
      <c r="G494" s="13"/>
      <c r="H494" s="13"/>
      <c r="I494" s="13"/>
      <c r="J494" s="13"/>
      <c r="K494" s="13"/>
      <c r="L494" s="13"/>
      <c r="M494" s="13"/>
      <c r="N494" s="13"/>
      <c r="O494" s="13"/>
      <c r="P494" s="13"/>
    </row>
    <row r="495" spans="1:16" ht="12">
      <c r="A495" s="13"/>
      <c r="B495" s="13"/>
      <c r="C495" s="13"/>
      <c r="D495" s="13"/>
      <c r="E495" s="13"/>
      <c r="F495" s="13"/>
      <c r="G495" s="13"/>
      <c r="H495" s="13"/>
      <c r="I495" s="13"/>
      <c r="J495" s="13"/>
      <c r="K495" s="13"/>
      <c r="L495" s="13"/>
      <c r="M495" s="13"/>
      <c r="N495" s="13"/>
      <c r="O495" s="13"/>
      <c r="P495" s="13"/>
    </row>
    <row r="496" spans="1:16" ht="12">
      <c r="A496" s="13"/>
      <c r="B496" s="13"/>
      <c r="C496" s="13"/>
      <c r="D496" s="13"/>
      <c r="E496" s="13"/>
      <c r="F496" s="13"/>
      <c r="G496" s="13"/>
      <c r="H496" s="13"/>
      <c r="I496" s="13"/>
      <c r="J496" s="13"/>
      <c r="K496" s="13"/>
      <c r="L496" s="13"/>
      <c r="M496" s="13"/>
      <c r="N496" s="13"/>
      <c r="O496" s="13"/>
      <c r="P496" s="13"/>
    </row>
    <row r="497" spans="1:16" ht="12">
      <c r="A497" s="13"/>
      <c r="B497" s="13"/>
      <c r="C497" s="13"/>
      <c r="D497" s="13"/>
      <c r="E497" s="13"/>
      <c r="F497" s="13"/>
      <c r="G497" s="13"/>
      <c r="H497" s="13"/>
      <c r="I497" s="13"/>
      <c r="J497" s="13"/>
      <c r="K497" s="13"/>
      <c r="L497" s="13"/>
      <c r="M497" s="13"/>
      <c r="N497" s="13"/>
      <c r="O497" s="13"/>
      <c r="P497" s="13"/>
    </row>
    <row r="498" spans="1:16" ht="12">
      <c r="A498" s="13"/>
      <c r="B498" s="13"/>
      <c r="C498" s="13"/>
      <c r="D498" s="13"/>
      <c r="E498" s="13"/>
      <c r="F498" s="13"/>
      <c r="G498" s="13"/>
      <c r="H498" s="13"/>
      <c r="I498" s="13"/>
      <c r="J498" s="13"/>
      <c r="K498" s="13"/>
      <c r="L498" s="13"/>
      <c r="M498" s="13"/>
      <c r="N498" s="13"/>
      <c r="O498" s="13"/>
      <c r="P498" s="13"/>
    </row>
    <row r="499" spans="1:16" ht="12">
      <c r="A499" s="13"/>
      <c r="B499" s="13"/>
      <c r="C499" s="13"/>
      <c r="D499" s="13"/>
      <c r="E499" s="13"/>
      <c r="F499" s="13"/>
      <c r="G499" s="13"/>
      <c r="H499" s="13"/>
      <c r="I499" s="13"/>
      <c r="J499" s="13"/>
      <c r="K499" s="13"/>
      <c r="L499" s="13"/>
      <c r="M499" s="13"/>
      <c r="N499" s="13"/>
      <c r="O499" s="13"/>
      <c r="P499" s="13"/>
    </row>
    <row r="500" spans="1:16" ht="12">
      <c r="A500" s="13"/>
      <c r="B500" s="13"/>
      <c r="C500" s="13"/>
      <c r="D500" s="13"/>
      <c r="E500" s="13"/>
      <c r="F500" s="13"/>
      <c r="G500" s="13"/>
      <c r="H500" s="13"/>
      <c r="I500" s="13"/>
      <c r="J500" s="13"/>
      <c r="K500" s="13"/>
      <c r="L500" s="13"/>
      <c r="M500" s="13"/>
      <c r="N500" s="13"/>
      <c r="O500" s="13"/>
      <c r="P500" s="13"/>
    </row>
    <row r="501" spans="1:16" ht="12">
      <c r="A501" s="13"/>
      <c r="B501" s="13"/>
      <c r="C501" s="13"/>
      <c r="D501" s="13"/>
      <c r="E501" s="13"/>
      <c r="F501" s="13"/>
      <c r="G501" s="13"/>
      <c r="H501" s="13"/>
      <c r="I501" s="13"/>
      <c r="J501" s="13"/>
      <c r="K501" s="13"/>
      <c r="L501" s="13"/>
      <c r="M501" s="13"/>
      <c r="N501" s="13"/>
      <c r="O501" s="13"/>
      <c r="P501" s="13"/>
    </row>
    <row r="502" spans="1:16" ht="12">
      <c r="A502" s="13"/>
      <c r="B502" s="13"/>
      <c r="C502" s="13"/>
      <c r="D502" s="13"/>
      <c r="E502" s="13"/>
      <c r="F502" s="13"/>
      <c r="G502" s="13"/>
      <c r="H502" s="13"/>
      <c r="I502" s="13"/>
      <c r="J502" s="13"/>
      <c r="K502" s="13"/>
      <c r="L502" s="13"/>
      <c r="M502" s="13"/>
      <c r="N502" s="13"/>
      <c r="O502" s="13"/>
      <c r="P502" s="13"/>
    </row>
    <row r="503" spans="1:16" ht="12">
      <c r="A503" s="13"/>
      <c r="B503" s="13"/>
      <c r="C503" s="13"/>
      <c r="D503" s="13"/>
      <c r="E503" s="13"/>
      <c r="F503" s="13"/>
      <c r="G503" s="13"/>
      <c r="H503" s="13"/>
      <c r="I503" s="13"/>
      <c r="J503" s="13"/>
      <c r="K503" s="13"/>
      <c r="L503" s="13"/>
      <c r="M503" s="13"/>
      <c r="N503" s="13"/>
      <c r="O503" s="13"/>
      <c r="P503" s="13"/>
    </row>
    <row r="504" spans="1:16" ht="12">
      <c r="A504" s="13"/>
      <c r="B504" s="13"/>
      <c r="C504" s="13"/>
      <c r="D504" s="13"/>
      <c r="E504" s="13"/>
      <c r="F504" s="13"/>
      <c r="G504" s="13"/>
      <c r="H504" s="13"/>
      <c r="I504" s="13"/>
      <c r="J504" s="13"/>
      <c r="K504" s="13"/>
      <c r="L504" s="13"/>
      <c r="M504" s="13"/>
      <c r="N504" s="13"/>
      <c r="O504" s="13"/>
      <c r="P504" s="13"/>
    </row>
    <row r="505" spans="1:16" ht="12">
      <c r="A505" s="13"/>
      <c r="B505" s="13"/>
      <c r="C505" s="13"/>
      <c r="D505" s="13"/>
      <c r="E505" s="13"/>
      <c r="F505" s="13"/>
      <c r="G505" s="13"/>
      <c r="H505" s="13"/>
      <c r="I505" s="13"/>
      <c r="J505" s="13"/>
      <c r="K505" s="13"/>
      <c r="L505" s="13"/>
      <c r="M505" s="13"/>
      <c r="N505" s="13"/>
      <c r="O505" s="13"/>
      <c r="P505" s="13"/>
    </row>
    <row r="506" spans="1:16" ht="12">
      <c r="A506" s="13"/>
      <c r="B506" s="13"/>
      <c r="C506" s="13"/>
      <c r="D506" s="13"/>
      <c r="E506" s="13"/>
      <c r="F506" s="13"/>
      <c r="G506" s="13"/>
      <c r="H506" s="13"/>
      <c r="I506" s="13"/>
      <c r="J506" s="13"/>
      <c r="K506" s="13"/>
      <c r="L506" s="13"/>
      <c r="M506" s="13"/>
      <c r="N506" s="13"/>
      <c r="O506" s="13"/>
      <c r="P506" s="13"/>
    </row>
    <row r="507" spans="1:16" ht="12">
      <c r="A507" s="13"/>
      <c r="B507" s="13"/>
      <c r="C507" s="13"/>
      <c r="D507" s="13"/>
      <c r="E507" s="13"/>
      <c r="F507" s="13"/>
      <c r="G507" s="13"/>
      <c r="H507" s="13"/>
      <c r="I507" s="13"/>
      <c r="J507" s="13"/>
      <c r="K507" s="13"/>
      <c r="L507" s="13"/>
      <c r="M507" s="13"/>
      <c r="N507" s="13"/>
      <c r="O507" s="13"/>
      <c r="P507" s="13"/>
    </row>
    <row r="508" spans="1:16" ht="12">
      <c r="A508" s="13"/>
      <c r="B508" s="13"/>
      <c r="C508" s="13"/>
      <c r="D508" s="13"/>
      <c r="E508" s="13"/>
      <c r="F508" s="13"/>
      <c r="G508" s="13"/>
      <c r="H508" s="13"/>
      <c r="I508" s="13"/>
      <c r="J508" s="13"/>
      <c r="K508" s="13"/>
      <c r="L508" s="13"/>
      <c r="M508" s="13"/>
      <c r="N508" s="13"/>
      <c r="O508" s="13"/>
      <c r="P508" s="13"/>
    </row>
    <row r="509" spans="1:16" ht="12">
      <c r="A509" s="13"/>
      <c r="B509" s="13"/>
      <c r="C509" s="13"/>
      <c r="D509" s="13"/>
      <c r="E509" s="13"/>
      <c r="F509" s="13"/>
      <c r="G509" s="13"/>
      <c r="H509" s="13"/>
      <c r="I509" s="13"/>
      <c r="J509" s="13"/>
      <c r="K509" s="13"/>
      <c r="L509" s="13"/>
      <c r="M509" s="13"/>
      <c r="N509" s="13"/>
      <c r="O509" s="13"/>
      <c r="P509" s="13"/>
    </row>
    <row r="510" spans="1:16" ht="12">
      <c r="A510" s="13"/>
      <c r="B510" s="13"/>
      <c r="C510" s="13"/>
      <c r="D510" s="13"/>
      <c r="E510" s="13"/>
      <c r="F510" s="13"/>
      <c r="G510" s="13"/>
      <c r="H510" s="13"/>
      <c r="I510" s="13"/>
      <c r="J510" s="13"/>
      <c r="K510" s="13"/>
      <c r="L510" s="13"/>
      <c r="M510" s="13"/>
      <c r="N510" s="13"/>
      <c r="O510" s="13"/>
      <c r="P510" s="13"/>
    </row>
    <row r="511" spans="1:16" ht="12">
      <c r="A511" s="13"/>
      <c r="B511" s="13"/>
      <c r="C511" s="13"/>
      <c r="D511" s="13"/>
      <c r="E511" s="13"/>
      <c r="F511" s="13"/>
      <c r="G511" s="13"/>
      <c r="H511" s="13"/>
      <c r="I511" s="13"/>
      <c r="J511" s="13"/>
      <c r="K511" s="13"/>
      <c r="L511" s="13"/>
      <c r="M511" s="13"/>
      <c r="N511" s="13"/>
      <c r="O511" s="13"/>
      <c r="P511" s="13"/>
    </row>
    <row r="512" spans="1:16" ht="12">
      <c r="A512" s="13"/>
      <c r="B512" s="13"/>
      <c r="C512" s="13"/>
      <c r="D512" s="13"/>
      <c r="E512" s="13"/>
      <c r="F512" s="13"/>
      <c r="G512" s="13"/>
      <c r="H512" s="13"/>
      <c r="I512" s="13"/>
      <c r="J512" s="13"/>
      <c r="K512" s="13"/>
      <c r="L512" s="13"/>
      <c r="M512" s="13"/>
      <c r="N512" s="13"/>
      <c r="O512" s="13"/>
      <c r="P512" s="13"/>
    </row>
    <row r="513" spans="1:16" ht="12">
      <c r="A513" s="13"/>
      <c r="B513" s="13"/>
      <c r="C513" s="13"/>
      <c r="D513" s="13"/>
      <c r="E513" s="13"/>
      <c r="F513" s="13"/>
      <c r="G513" s="13"/>
      <c r="H513" s="13"/>
      <c r="I513" s="13"/>
      <c r="J513" s="13"/>
      <c r="K513" s="13"/>
      <c r="L513" s="13"/>
      <c r="M513" s="13"/>
      <c r="N513" s="13"/>
      <c r="O513" s="13"/>
      <c r="P513" s="13"/>
    </row>
    <row r="514" spans="1:16" ht="12">
      <c r="A514" s="13"/>
      <c r="B514" s="13"/>
      <c r="C514" s="13"/>
      <c r="D514" s="13"/>
      <c r="E514" s="13"/>
      <c r="F514" s="13"/>
      <c r="G514" s="13"/>
      <c r="H514" s="13"/>
      <c r="I514" s="13"/>
      <c r="J514" s="13"/>
      <c r="K514" s="13"/>
      <c r="L514" s="13"/>
      <c r="M514" s="13"/>
      <c r="N514" s="13"/>
      <c r="O514" s="13"/>
      <c r="P514" s="13"/>
    </row>
    <row r="515" spans="1:16" ht="12">
      <c r="A515" s="13"/>
      <c r="B515" s="13"/>
      <c r="C515" s="13"/>
      <c r="D515" s="13"/>
      <c r="E515" s="13"/>
      <c r="F515" s="13"/>
      <c r="G515" s="13"/>
      <c r="H515" s="13"/>
      <c r="I515" s="13"/>
      <c r="J515" s="13"/>
      <c r="K515" s="13"/>
      <c r="L515" s="13"/>
      <c r="M515" s="13"/>
      <c r="N515" s="13"/>
      <c r="O515" s="13"/>
      <c r="P515" s="13"/>
    </row>
    <row r="516" spans="1:16" ht="12">
      <c r="A516" s="13"/>
      <c r="B516" s="13"/>
      <c r="C516" s="13"/>
      <c r="D516" s="13"/>
      <c r="E516" s="13"/>
      <c r="F516" s="13"/>
      <c r="G516" s="13"/>
      <c r="H516" s="13"/>
      <c r="I516" s="13"/>
      <c r="J516" s="13"/>
      <c r="K516" s="13"/>
      <c r="L516" s="13"/>
      <c r="M516" s="13"/>
      <c r="N516" s="13"/>
      <c r="O516" s="13"/>
      <c r="P516" s="13"/>
    </row>
    <row r="517" spans="1:16" ht="12">
      <c r="A517" s="13"/>
      <c r="B517" s="13"/>
      <c r="C517" s="13"/>
      <c r="D517" s="13"/>
      <c r="E517" s="13"/>
      <c r="F517" s="13"/>
      <c r="G517" s="13"/>
      <c r="H517" s="13"/>
      <c r="I517" s="13"/>
      <c r="J517" s="13"/>
      <c r="K517" s="13"/>
      <c r="L517" s="13"/>
      <c r="M517" s="13"/>
      <c r="N517" s="13"/>
      <c r="O517" s="13"/>
      <c r="P517" s="13"/>
    </row>
    <row r="518" spans="1:16" ht="12">
      <c r="A518" s="13"/>
      <c r="B518" s="13"/>
      <c r="C518" s="13"/>
      <c r="D518" s="13"/>
      <c r="E518" s="13"/>
      <c r="F518" s="13"/>
      <c r="G518" s="13"/>
      <c r="H518" s="13"/>
      <c r="I518" s="13"/>
      <c r="J518" s="13"/>
      <c r="K518" s="13"/>
      <c r="L518" s="13"/>
      <c r="M518" s="13"/>
      <c r="N518" s="13"/>
      <c r="O518" s="13"/>
      <c r="P518" s="13"/>
    </row>
    <row r="519" spans="1:16" ht="12">
      <c r="A519" s="13"/>
      <c r="B519" s="13"/>
      <c r="C519" s="13"/>
      <c r="D519" s="13"/>
      <c r="E519" s="13"/>
      <c r="F519" s="13"/>
      <c r="G519" s="13"/>
      <c r="H519" s="13"/>
      <c r="I519" s="13"/>
      <c r="J519" s="13"/>
      <c r="K519" s="13"/>
      <c r="L519" s="13"/>
      <c r="M519" s="13"/>
      <c r="N519" s="13"/>
      <c r="O519" s="13"/>
      <c r="P519" s="13"/>
    </row>
    <row r="520" spans="1:16" ht="12">
      <c r="A520" s="13"/>
      <c r="B520" s="13"/>
      <c r="C520" s="13"/>
      <c r="D520" s="13"/>
      <c r="E520" s="13"/>
      <c r="F520" s="13"/>
      <c r="G520" s="13"/>
      <c r="H520" s="13"/>
      <c r="I520" s="13"/>
      <c r="J520" s="13"/>
      <c r="K520" s="13"/>
      <c r="L520" s="13"/>
      <c r="M520" s="13"/>
      <c r="N520" s="13"/>
      <c r="O520" s="13"/>
      <c r="P520" s="13"/>
    </row>
    <row r="521" spans="1:16" ht="12">
      <c r="A521" s="13"/>
      <c r="B521" s="13"/>
      <c r="C521" s="13"/>
      <c r="D521" s="13"/>
      <c r="E521" s="13"/>
      <c r="F521" s="13"/>
      <c r="G521" s="13"/>
      <c r="H521" s="13"/>
      <c r="I521" s="13"/>
      <c r="J521" s="13"/>
      <c r="K521" s="13"/>
      <c r="L521" s="13"/>
      <c r="M521" s="13"/>
      <c r="N521" s="13"/>
      <c r="O521" s="13"/>
      <c r="P521" s="13"/>
    </row>
    <row r="522" spans="1:16" ht="12">
      <c r="A522" s="13"/>
      <c r="B522" s="13"/>
      <c r="C522" s="13"/>
      <c r="D522" s="13"/>
      <c r="E522" s="13"/>
      <c r="F522" s="13"/>
      <c r="G522" s="13"/>
      <c r="H522" s="13"/>
      <c r="I522" s="13"/>
      <c r="J522" s="13"/>
      <c r="K522" s="13"/>
      <c r="L522" s="13"/>
      <c r="M522" s="13"/>
      <c r="N522" s="13"/>
      <c r="O522" s="13"/>
      <c r="P522" s="13"/>
    </row>
    <row r="523" spans="1:16" ht="12">
      <c r="A523" s="13"/>
      <c r="B523" s="13"/>
      <c r="C523" s="13"/>
      <c r="D523" s="13"/>
      <c r="E523" s="13"/>
      <c r="F523" s="13"/>
      <c r="G523" s="13"/>
      <c r="H523" s="13"/>
      <c r="I523" s="13"/>
      <c r="J523" s="13"/>
      <c r="K523" s="13"/>
      <c r="L523" s="13"/>
      <c r="M523" s="13"/>
      <c r="N523" s="13"/>
      <c r="O523" s="13"/>
      <c r="P523" s="13"/>
    </row>
    <row r="524" spans="1:16" ht="12">
      <c r="A524" s="13"/>
      <c r="B524" s="13"/>
      <c r="C524" s="13"/>
      <c r="D524" s="13"/>
      <c r="E524" s="13"/>
      <c r="F524" s="13"/>
      <c r="G524" s="13"/>
      <c r="H524" s="13"/>
      <c r="I524" s="13"/>
      <c r="J524" s="13"/>
      <c r="K524" s="13"/>
      <c r="L524" s="13"/>
      <c r="M524" s="13"/>
      <c r="N524" s="13"/>
      <c r="O524" s="13"/>
      <c r="P524" s="13"/>
    </row>
    <row r="525" spans="1:16" ht="12">
      <c r="A525" s="13"/>
      <c r="B525" s="13"/>
      <c r="C525" s="13"/>
      <c r="D525" s="13"/>
      <c r="E525" s="13"/>
      <c r="F525" s="13"/>
      <c r="G525" s="13"/>
      <c r="H525" s="13"/>
      <c r="I525" s="13"/>
      <c r="J525" s="13"/>
      <c r="K525" s="13"/>
      <c r="L525" s="13"/>
      <c r="M525" s="13"/>
      <c r="N525" s="13"/>
      <c r="O525" s="13"/>
      <c r="P525" s="13"/>
    </row>
    <row r="526" spans="1:16" ht="12">
      <c r="A526" s="13"/>
      <c r="B526" s="13"/>
      <c r="C526" s="13"/>
      <c r="D526" s="13"/>
      <c r="E526" s="13"/>
      <c r="F526" s="13"/>
      <c r="G526" s="13"/>
      <c r="H526" s="13"/>
      <c r="I526" s="13"/>
      <c r="J526" s="13"/>
      <c r="K526" s="13"/>
      <c r="L526" s="13"/>
      <c r="M526" s="13"/>
      <c r="N526" s="13"/>
      <c r="O526" s="13"/>
      <c r="P526" s="13"/>
    </row>
    <row r="527" spans="1:16" ht="12">
      <c r="A527" s="13"/>
      <c r="B527" s="13"/>
      <c r="C527" s="13"/>
      <c r="D527" s="13"/>
      <c r="E527" s="13"/>
      <c r="F527" s="13"/>
      <c r="G527" s="13"/>
      <c r="H527" s="13"/>
      <c r="I527" s="13"/>
      <c r="J527" s="13"/>
      <c r="K527" s="13"/>
      <c r="L527" s="13"/>
      <c r="M527" s="13"/>
      <c r="N527" s="13"/>
      <c r="O527" s="13"/>
      <c r="P527" s="13"/>
    </row>
    <row r="528" spans="1:16" ht="12">
      <c r="A528" s="13"/>
      <c r="B528" s="13"/>
      <c r="C528" s="13"/>
      <c r="D528" s="13"/>
      <c r="E528" s="13"/>
      <c r="F528" s="13"/>
      <c r="G528" s="13"/>
      <c r="H528" s="13"/>
      <c r="I528" s="13"/>
      <c r="J528" s="13"/>
      <c r="K528" s="13"/>
      <c r="L528" s="13"/>
      <c r="M528" s="13"/>
      <c r="N528" s="13"/>
      <c r="O528" s="13"/>
      <c r="P528" s="13"/>
    </row>
    <row r="529" spans="1:16" ht="12">
      <c r="A529" s="13"/>
      <c r="B529" s="13"/>
      <c r="C529" s="13"/>
      <c r="D529" s="13"/>
      <c r="E529" s="13"/>
      <c r="F529" s="13"/>
      <c r="G529" s="13"/>
      <c r="H529" s="13"/>
      <c r="I529" s="13"/>
      <c r="J529" s="13"/>
      <c r="K529" s="13"/>
      <c r="L529" s="13"/>
      <c r="M529" s="13"/>
      <c r="N529" s="13"/>
      <c r="O529" s="13"/>
      <c r="P529" s="13"/>
    </row>
    <row r="530" spans="1:16" ht="12">
      <c r="A530" s="13"/>
      <c r="B530" s="13"/>
      <c r="C530" s="13"/>
      <c r="D530" s="13"/>
      <c r="E530" s="13"/>
      <c r="F530" s="13"/>
      <c r="G530" s="13"/>
      <c r="H530" s="13"/>
      <c r="I530" s="13"/>
      <c r="J530" s="13"/>
      <c r="K530" s="13"/>
      <c r="L530" s="13"/>
      <c r="M530" s="13"/>
      <c r="N530" s="13"/>
      <c r="O530" s="13"/>
      <c r="P530" s="13"/>
    </row>
    <row r="531" spans="1:16" ht="12">
      <c r="A531" s="13"/>
      <c r="B531" s="13"/>
      <c r="C531" s="13"/>
      <c r="D531" s="13"/>
      <c r="E531" s="13"/>
      <c r="F531" s="13"/>
      <c r="G531" s="13"/>
      <c r="H531" s="13"/>
      <c r="I531" s="13"/>
      <c r="J531" s="13"/>
      <c r="K531" s="13"/>
      <c r="L531" s="13"/>
      <c r="M531" s="13"/>
      <c r="N531" s="13"/>
      <c r="O531" s="13"/>
      <c r="P531" s="13"/>
    </row>
    <row r="532" spans="1:16" ht="12">
      <c r="A532" s="13"/>
      <c r="B532" s="13"/>
      <c r="C532" s="13"/>
      <c r="D532" s="13"/>
      <c r="E532" s="13"/>
      <c r="F532" s="13"/>
      <c r="G532" s="13"/>
      <c r="H532" s="13"/>
      <c r="I532" s="13"/>
      <c r="J532" s="13"/>
      <c r="K532" s="13"/>
      <c r="L532" s="13"/>
      <c r="M532" s="13"/>
      <c r="N532" s="13"/>
      <c r="O532" s="13"/>
      <c r="P532" s="13"/>
    </row>
    <row r="533" spans="1:16" ht="12">
      <c r="A533" s="13"/>
      <c r="B533" s="13"/>
      <c r="C533" s="13"/>
      <c r="D533" s="13"/>
      <c r="E533" s="13"/>
      <c r="F533" s="13"/>
      <c r="G533" s="13"/>
      <c r="H533" s="13"/>
      <c r="I533" s="13"/>
      <c r="J533" s="13"/>
      <c r="K533" s="13"/>
      <c r="L533" s="13"/>
      <c r="M533" s="13"/>
      <c r="N533" s="13"/>
      <c r="O533" s="13"/>
      <c r="P533" s="13"/>
    </row>
    <row r="534" spans="1:16" ht="12">
      <c r="A534" s="13"/>
      <c r="B534" s="13"/>
      <c r="C534" s="13"/>
      <c r="D534" s="13"/>
      <c r="E534" s="13"/>
      <c r="F534" s="13"/>
      <c r="G534" s="13"/>
      <c r="H534" s="13"/>
      <c r="I534" s="13"/>
      <c r="J534" s="13"/>
      <c r="K534" s="13"/>
      <c r="L534" s="13"/>
      <c r="M534" s="13"/>
      <c r="N534" s="13"/>
      <c r="O534" s="13"/>
      <c r="P534" s="13"/>
    </row>
    <row r="535" spans="1:16" ht="12">
      <c r="A535" s="13"/>
      <c r="B535" s="13"/>
      <c r="C535" s="13"/>
      <c r="D535" s="13"/>
      <c r="E535" s="13"/>
      <c r="F535" s="13"/>
      <c r="G535" s="13"/>
      <c r="H535" s="13"/>
      <c r="I535" s="13"/>
      <c r="J535" s="13"/>
      <c r="K535" s="13"/>
      <c r="L535" s="13"/>
      <c r="M535" s="13"/>
      <c r="N535" s="13"/>
      <c r="O535" s="13"/>
      <c r="P535" s="13"/>
    </row>
    <row r="536" spans="1:16" ht="12">
      <c r="A536" s="13"/>
      <c r="B536" s="13"/>
      <c r="C536" s="13"/>
      <c r="D536" s="13"/>
      <c r="E536" s="13"/>
      <c r="F536" s="13"/>
      <c r="G536" s="13"/>
      <c r="H536" s="13"/>
      <c r="I536" s="13"/>
      <c r="J536" s="13"/>
      <c r="K536" s="13"/>
      <c r="L536" s="13"/>
      <c r="M536" s="13"/>
      <c r="N536" s="13"/>
      <c r="O536" s="13"/>
      <c r="P536" s="13"/>
    </row>
    <row r="537" spans="1:16" ht="12">
      <c r="A537" s="13"/>
      <c r="B537" s="13"/>
      <c r="C537" s="13"/>
      <c r="D537" s="13"/>
      <c r="E537" s="13"/>
      <c r="F537" s="13"/>
      <c r="G537" s="13"/>
      <c r="H537" s="13"/>
      <c r="I537" s="13"/>
      <c r="J537" s="13"/>
      <c r="K537" s="13"/>
      <c r="L537" s="13"/>
      <c r="M537" s="13"/>
      <c r="N537" s="13"/>
      <c r="O537" s="13"/>
      <c r="P537" s="13"/>
    </row>
    <row r="538" spans="1:16" ht="12">
      <c r="A538" s="13"/>
      <c r="B538" s="13"/>
      <c r="C538" s="13"/>
      <c r="D538" s="13"/>
      <c r="E538" s="13"/>
      <c r="F538" s="13"/>
      <c r="G538" s="13"/>
      <c r="H538" s="13"/>
      <c r="I538" s="13"/>
      <c r="J538" s="13"/>
      <c r="K538" s="13"/>
      <c r="L538" s="13"/>
      <c r="M538" s="13"/>
      <c r="N538" s="13"/>
      <c r="O538" s="13"/>
      <c r="P538" s="13"/>
    </row>
    <row r="539" spans="1:16" ht="12">
      <c r="A539" s="13"/>
      <c r="B539" s="13"/>
      <c r="C539" s="13"/>
      <c r="D539" s="13"/>
      <c r="E539" s="13"/>
      <c r="F539" s="13"/>
      <c r="G539" s="13"/>
      <c r="H539" s="13"/>
      <c r="I539" s="13"/>
      <c r="J539" s="13"/>
      <c r="K539" s="13"/>
      <c r="L539" s="13"/>
      <c r="M539" s="13"/>
      <c r="N539" s="13"/>
      <c r="O539" s="13"/>
      <c r="P539" s="13"/>
    </row>
    <row r="540" spans="1:16" ht="12">
      <c r="A540" s="13"/>
      <c r="B540" s="13"/>
      <c r="C540" s="13"/>
      <c r="D540" s="13"/>
      <c r="E540" s="13"/>
      <c r="F540" s="13"/>
      <c r="G540" s="13"/>
      <c r="H540" s="13"/>
      <c r="I540" s="13"/>
      <c r="J540" s="13"/>
      <c r="K540" s="13"/>
      <c r="L540" s="13"/>
      <c r="M540" s="13"/>
      <c r="N540" s="13"/>
      <c r="O540" s="13"/>
      <c r="P540" s="13"/>
    </row>
    <row r="541" spans="1:16" ht="12">
      <c r="A541" s="13"/>
      <c r="B541" s="13"/>
      <c r="C541" s="13"/>
      <c r="D541" s="13"/>
      <c r="E541" s="13"/>
      <c r="F541" s="13"/>
      <c r="G541" s="13"/>
      <c r="H541" s="13"/>
      <c r="I541" s="13"/>
      <c r="J541" s="13"/>
      <c r="K541" s="13"/>
      <c r="L541" s="13"/>
      <c r="M541" s="13"/>
      <c r="N541" s="13"/>
      <c r="O541" s="13"/>
      <c r="P541" s="13"/>
    </row>
    <row r="542" spans="1:16" ht="12">
      <c r="A542" s="13"/>
      <c r="B542" s="13"/>
      <c r="C542" s="13"/>
      <c r="D542" s="13"/>
      <c r="E542" s="13"/>
      <c r="F542" s="13"/>
      <c r="G542" s="13"/>
      <c r="H542" s="13"/>
      <c r="I542" s="13"/>
      <c r="J542" s="13"/>
      <c r="K542" s="13"/>
      <c r="L542" s="13"/>
      <c r="M542" s="13"/>
      <c r="N542" s="13"/>
      <c r="O542" s="13"/>
      <c r="P542" s="13"/>
    </row>
    <row r="543" spans="1:16" ht="12">
      <c r="A543" s="13"/>
      <c r="B543" s="13"/>
      <c r="C543" s="13"/>
      <c r="D543" s="13"/>
      <c r="E543" s="13"/>
      <c r="F543" s="13"/>
      <c r="G543" s="13"/>
      <c r="H543" s="13"/>
      <c r="I543" s="13"/>
      <c r="J543" s="13"/>
      <c r="K543" s="13"/>
      <c r="L543" s="13"/>
      <c r="M543" s="13"/>
      <c r="N543" s="13"/>
      <c r="O543" s="13"/>
      <c r="P543" s="13"/>
    </row>
    <row r="544" spans="1:16" ht="12">
      <c r="A544" s="13"/>
      <c r="B544" s="13"/>
      <c r="C544" s="13"/>
      <c r="D544" s="13"/>
      <c r="E544" s="13"/>
      <c r="F544" s="13"/>
      <c r="G544" s="13"/>
      <c r="H544" s="13"/>
      <c r="I544" s="13"/>
      <c r="J544" s="13"/>
      <c r="K544" s="13"/>
      <c r="L544" s="13"/>
      <c r="M544" s="13"/>
      <c r="N544" s="13"/>
      <c r="O544" s="13"/>
      <c r="P544" s="13"/>
    </row>
    <row r="545" spans="1:16" ht="12">
      <c r="A545" s="13"/>
      <c r="B545" s="13"/>
      <c r="C545" s="13"/>
      <c r="D545" s="13"/>
      <c r="E545" s="13"/>
      <c r="F545" s="13"/>
      <c r="G545" s="13"/>
      <c r="H545" s="13"/>
      <c r="I545" s="13"/>
      <c r="J545" s="13"/>
      <c r="K545" s="13"/>
      <c r="L545" s="13"/>
      <c r="M545" s="13"/>
      <c r="N545" s="13"/>
      <c r="O545" s="13"/>
      <c r="P545" s="13"/>
    </row>
    <row r="546" spans="1:16" ht="12">
      <c r="A546" s="13"/>
      <c r="B546" s="13"/>
      <c r="C546" s="13"/>
      <c r="D546" s="13"/>
      <c r="E546" s="13"/>
      <c r="F546" s="13"/>
      <c r="G546" s="13"/>
      <c r="H546" s="13"/>
      <c r="I546" s="13"/>
      <c r="J546" s="13"/>
      <c r="K546" s="13"/>
      <c r="L546" s="13"/>
      <c r="M546" s="13"/>
      <c r="N546" s="13"/>
      <c r="O546" s="13"/>
      <c r="P546" s="13"/>
    </row>
    <row r="547" spans="1:16" ht="12">
      <c r="A547" s="13"/>
      <c r="B547" s="13"/>
      <c r="C547" s="13"/>
      <c r="D547" s="13"/>
      <c r="E547" s="13"/>
      <c r="F547" s="13"/>
      <c r="G547" s="13"/>
      <c r="H547" s="13"/>
      <c r="I547" s="13"/>
      <c r="J547" s="13"/>
      <c r="K547" s="13"/>
      <c r="L547" s="13"/>
      <c r="M547" s="13"/>
      <c r="N547" s="13"/>
      <c r="O547" s="13"/>
      <c r="P547" s="13"/>
    </row>
    <row r="548" spans="1:16" ht="12">
      <c r="A548" s="13"/>
      <c r="B548" s="13"/>
      <c r="C548" s="13"/>
      <c r="D548" s="13"/>
      <c r="E548" s="13"/>
      <c r="F548" s="13"/>
      <c r="G548" s="13"/>
      <c r="H548" s="13"/>
      <c r="I548" s="13"/>
      <c r="J548" s="13"/>
      <c r="K548" s="13"/>
      <c r="L548" s="13"/>
      <c r="M548" s="13"/>
      <c r="N548" s="13"/>
      <c r="O548" s="13"/>
      <c r="P548" s="13"/>
    </row>
    <row r="549" spans="1:16" ht="12">
      <c r="A549" s="13"/>
      <c r="B549" s="13"/>
      <c r="C549" s="13"/>
      <c r="D549" s="13"/>
      <c r="E549" s="13"/>
      <c r="F549" s="13"/>
      <c r="G549" s="13"/>
      <c r="H549" s="13"/>
      <c r="I549" s="13"/>
      <c r="J549" s="13"/>
      <c r="K549" s="13"/>
      <c r="L549" s="13"/>
      <c r="M549" s="13"/>
      <c r="N549" s="13"/>
      <c r="O549" s="13"/>
      <c r="P549" s="13"/>
    </row>
    <row r="550" spans="1:16" ht="12">
      <c r="A550" s="13"/>
      <c r="B550" s="13"/>
      <c r="C550" s="13"/>
      <c r="D550" s="13"/>
      <c r="E550" s="13"/>
      <c r="F550" s="13"/>
      <c r="G550" s="13"/>
      <c r="H550" s="13"/>
      <c r="I550" s="13"/>
      <c r="J550" s="13"/>
      <c r="K550" s="13"/>
      <c r="L550" s="13"/>
      <c r="M550" s="13"/>
      <c r="N550" s="13"/>
      <c r="O550" s="13"/>
      <c r="P550" s="13"/>
    </row>
    <row r="551" spans="1:16" ht="12">
      <c r="A551" s="13"/>
      <c r="B551" s="13"/>
      <c r="C551" s="13"/>
      <c r="D551" s="13"/>
      <c r="E551" s="13"/>
      <c r="F551" s="13"/>
      <c r="G551" s="13"/>
      <c r="H551" s="13"/>
      <c r="I551" s="13"/>
      <c r="J551" s="13"/>
      <c r="K551" s="13"/>
      <c r="L551" s="13"/>
      <c r="M551" s="13"/>
      <c r="N551" s="13"/>
      <c r="O551" s="13"/>
      <c r="P551" s="13"/>
    </row>
    <row r="552" spans="1:16" ht="12">
      <c r="A552" s="13"/>
      <c r="B552" s="13"/>
      <c r="C552" s="13"/>
      <c r="D552" s="13"/>
      <c r="E552" s="13"/>
      <c r="F552" s="13"/>
      <c r="G552" s="13"/>
      <c r="H552" s="13"/>
      <c r="I552" s="13"/>
      <c r="J552" s="13"/>
      <c r="K552" s="13"/>
      <c r="L552" s="13"/>
      <c r="M552" s="13"/>
      <c r="N552" s="13"/>
      <c r="O552" s="13"/>
      <c r="P552" s="13"/>
    </row>
    <row r="553" spans="1:16" ht="12">
      <c r="A553" s="13"/>
      <c r="B553" s="13"/>
      <c r="C553" s="13"/>
      <c r="D553" s="13"/>
      <c r="E553" s="13"/>
      <c r="F553" s="13"/>
      <c r="G553" s="13"/>
      <c r="H553" s="13"/>
      <c r="I553" s="13"/>
      <c r="J553" s="13"/>
      <c r="K553" s="13"/>
      <c r="L553" s="13"/>
      <c r="M553" s="13"/>
      <c r="N553" s="13"/>
      <c r="O553" s="13"/>
      <c r="P553" s="13"/>
    </row>
    <row r="554" spans="1:16" ht="12">
      <c r="A554" s="13"/>
      <c r="B554" s="13"/>
      <c r="C554" s="13"/>
      <c r="D554" s="13"/>
      <c r="E554" s="13"/>
      <c r="F554" s="13"/>
      <c r="G554" s="13"/>
      <c r="H554" s="13"/>
      <c r="I554" s="13"/>
      <c r="J554" s="13"/>
      <c r="K554" s="13"/>
      <c r="L554" s="13"/>
      <c r="M554" s="13"/>
      <c r="N554" s="13"/>
      <c r="O554" s="13"/>
      <c r="P554" s="13"/>
    </row>
    <row r="555" spans="1:16" ht="12">
      <c r="A555" s="13"/>
      <c r="B555" s="13"/>
      <c r="C555" s="13"/>
      <c r="D555" s="13"/>
      <c r="E555" s="13"/>
      <c r="F555" s="13"/>
      <c r="G555" s="13"/>
      <c r="H555" s="13"/>
      <c r="I555" s="13"/>
      <c r="J555" s="13"/>
      <c r="K555" s="13"/>
      <c r="L555" s="13"/>
      <c r="M555" s="13"/>
      <c r="N555" s="13"/>
      <c r="O555" s="13"/>
      <c r="P555" s="13"/>
    </row>
    <row r="556" spans="1:16" ht="12">
      <c r="A556" s="13"/>
      <c r="B556" s="13"/>
      <c r="C556" s="13"/>
      <c r="D556" s="13"/>
      <c r="E556" s="13"/>
      <c r="F556" s="13"/>
      <c r="G556" s="13"/>
      <c r="H556" s="13"/>
      <c r="I556" s="13"/>
      <c r="J556" s="13"/>
      <c r="K556" s="13"/>
      <c r="L556" s="13"/>
      <c r="M556" s="13"/>
      <c r="N556" s="13"/>
      <c r="O556" s="13"/>
      <c r="P556" s="13"/>
    </row>
    <row r="557" spans="1:16" ht="12">
      <c r="A557" s="13"/>
      <c r="B557" s="13"/>
      <c r="C557" s="13"/>
      <c r="D557" s="13"/>
      <c r="E557" s="13"/>
      <c r="F557" s="13"/>
      <c r="G557" s="13"/>
      <c r="H557" s="13"/>
      <c r="I557" s="13"/>
      <c r="J557" s="13"/>
      <c r="K557" s="13"/>
      <c r="L557" s="13"/>
      <c r="M557" s="13"/>
      <c r="N557" s="13"/>
      <c r="O557" s="13"/>
      <c r="P557" s="13"/>
    </row>
    <row r="558" spans="1:16" ht="12">
      <c r="A558" s="13"/>
      <c r="B558" s="13"/>
      <c r="C558" s="13"/>
      <c r="D558" s="13"/>
      <c r="E558" s="13"/>
      <c r="F558" s="13"/>
      <c r="G558" s="13"/>
      <c r="H558" s="13"/>
      <c r="I558" s="13"/>
      <c r="J558" s="13"/>
      <c r="K558" s="13"/>
      <c r="L558" s="13"/>
      <c r="M558" s="13"/>
      <c r="N558" s="13"/>
      <c r="O558" s="13"/>
      <c r="P558" s="13"/>
    </row>
    <row r="559" spans="1:16" ht="12">
      <c r="A559" s="13"/>
      <c r="B559" s="13"/>
      <c r="C559" s="13"/>
      <c r="D559" s="13"/>
      <c r="E559" s="13"/>
      <c r="F559" s="13"/>
      <c r="G559" s="13"/>
      <c r="H559" s="13"/>
      <c r="I559" s="13"/>
      <c r="J559" s="13"/>
      <c r="K559" s="13"/>
      <c r="L559" s="13"/>
      <c r="M559" s="13"/>
      <c r="N559" s="13"/>
      <c r="O559" s="13"/>
      <c r="P559" s="13"/>
    </row>
    <row r="560" spans="1:16" ht="12">
      <c r="A560" s="13"/>
      <c r="B560" s="13"/>
      <c r="C560" s="13"/>
      <c r="D560" s="13"/>
      <c r="E560" s="13"/>
      <c r="F560" s="13"/>
      <c r="G560" s="13"/>
      <c r="H560" s="13"/>
      <c r="I560" s="13"/>
      <c r="J560" s="13"/>
      <c r="K560" s="13"/>
      <c r="L560" s="13"/>
      <c r="M560" s="13"/>
      <c r="N560" s="13"/>
      <c r="O560" s="13"/>
      <c r="P560" s="13"/>
    </row>
    <row r="561" spans="1:16" ht="12">
      <c r="A561" s="13"/>
      <c r="B561" s="13"/>
      <c r="C561" s="13"/>
      <c r="D561" s="13"/>
      <c r="E561" s="13"/>
      <c r="F561" s="13"/>
      <c r="G561" s="13"/>
      <c r="H561" s="13"/>
      <c r="I561" s="13"/>
      <c r="J561" s="13"/>
      <c r="K561" s="13"/>
      <c r="L561" s="13"/>
      <c r="M561" s="13"/>
      <c r="N561" s="13"/>
      <c r="O561" s="13"/>
      <c r="P561" s="13"/>
    </row>
    <row r="562" spans="1:16" ht="12">
      <c r="A562" s="13"/>
      <c r="B562" s="13"/>
      <c r="C562" s="13"/>
      <c r="D562" s="13"/>
      <c r="E562" s="13"/>
      <c r="F562" s="13"/>
      <c r="G562" s="13"/>
      <c r="H562" s="13"/>
      <c r="I562" s="13"/>
      <c r="J562" s="13"/>
      <c r="K562" s="13"/>
      <c r="L562" s="13"/>
      <c r="M562" s="13"/>
      <c r="N562" s="13"/>
      <c r="O562" s="13"/>
      <c r="P562" s="13"/>
    </row>
    <row r="563" spans="1:16" ht="12">
      <c r="A563" s="13"/>
      <c r="B563" s="13"/>
      <c r="C563" s="13"/>
      <c r="D563" s="13"/>
      <c r="E563" s="13"/>
      <c r="F563" s="13"/>
      <c r="G563" s="13"/>
      <c r="H563" s="13"/>
      <c r="I563" s="13"/>
      <c r="J563" s="13"/>
      <c r="K563" s="13"/>
      <c r="L563" s="13"/>
      <c r="M563" s="13"/>
      <c r="N563" s="13"/>
      <c r="O563" s="13"/>
      <c r="P563" s="13"/>
    </row>
    <row r="564" spans="1:16" ht="12">
      <c r="A564" s="13"/>
      <c r="B564" s="13"/>
      <c r="C564" s="13"/>
      <c r="D564" s="13"/>
      <c r="E564" s="13"/>
      <c r="F564" s="13"/>
      <c r="G564" s="13"/>
      <c r="H564" s="13"/>
      <c r="I564" s="13"/>
      <c r="J564" s="13"/>
      <c r="K564" s="13"/>
      <c r="L564" s="13"/>
      <c r="M564" s="13"/>
      <c r="N564" s="13"/>
      <c r="O564" s="13"/>
      <c r="P564" s="13"/>
    </row>
    <row r="565" spans="1:16" ht="12">
      <c r="A565" s="13"/>
      <c r="B565" s="13"/>
      <c r="C565" s="13"/>
      <c r="D565" s="13"/>
      <c r="E565" s="13"/>
      <c r="F565" s="13"/>
      <c r="G565" s="13"/>
      <c r="H565" s="13"/>
      <c r="I565" s="13"/>
      <c r="J565" s="13"/>
      <c r="K565" s="13"/>
      <c r="L565" s="13"/>
      <c r="M565" s="13"/>
      <c r="N565" s="13"/>
      <c r="O565" s="13"/>
      <c r="P565" s="13"/>
    </row>
    <row r="566" spans="1:16" ht="12">
      <c r="A566" s="13"/>
      <c r="B566" s="13"/>
      <c r="C566" s="13"/>
      <c r="D566" s="13"/>
      <c r="E566" s="13"/>
      <c r="F566" s="13"/>
      <c r="G566" s="13"/>
      <c r="H566" s="13"/>
      <c r="I566" s="13"/>
      <c r="J566" s="13"/>
      <c r="K566" s="13"/>
      <c r="L566" s="13"/>
      <c r="M566" s="13"/>
      <c r="N566" s="13"/>
      <c r="O566" s="13"/>
      <c r="P566" s="13"/>
    </row>
    <row r="567" spans="1:16" ht="12">
      <c r="A567" s="13"/>
      <c r="B567" s="13"/>
      <c r="C567" s="13"/>
      <c r="D567" s="13"/>
      <c r="E567" s="13"/>
      <c r="F567" s="13"/>
      <c r="G567" s="13"/>
      <c r="H567" s="13"/>
      <c r="I567" s="13"/>
      <c r="J567" s="13"/>
      <c r="K567" s="13"/>
      <c r="L567" s="13"/>
      <c r="M567" s="13"/>
      <c r="N567" s="13"/>
      <c r="O567" s="13"/>
      <c r="P567" s="13"/>
    </row>
    <row r="568" spans="1:16" ht="12">
      <c r="A568" s="13"/>
      <c r="B568" s="13"/>
      <c r="C568" s="13"/>
      <c r="D568" s="13"/>
      <c r="E568" s="13"/>
      <c r="F568" s="13"/>
      <c r="G568" s="13"/>
      <c r="H568" s="13"/>
      <c r="I568" s="13"/>
      <c r="J568" s="13"/>
      <c r="K568" s="13"/>
      <c r="L568" s="13"/>
      <c r="M568" s="13"/>
      <c r="N568" s="13"/>
      <c r="O568" s="13"/>
      <c r="P568" s="13"/>
    </row>
    <row r="569" spans="1:16" ht="12">
      <c r="A569" s="13"/>
      <c r="B569" s="13"/>
      <c r="C569" s="13"/>
      <c r="D569" s="13"/>
      <c r="E569" s="13"/>
      <c r="F569" s="13"/>
      <c r="G569" s="13"/>
      <c r="H569" s="13"/>
      <c r="I569" s="13"/>
      <c r="J569" s="13"/>
      <c r="K569" s="13"/>
      <c r="L569" s="13"/>
      <c r="M569" s="13"/>
      <c r="N569" s="13"/>
      <c r="O569" s="13"/>
      <c r="P569" s="13"/>
    </row>
    <row r="570" spans="1:16" ht="12">
      <c r="A570" s="13"/>
      <c r="B570" s="13"/>
      <c r="C570" s="13"/>
      <c r="D570" s="13"/>
      <c r="E570" s="13"/>
      <c r="F570" s="13"/>
      <c r="G570" s="13"/>
      <c r="H570" s="13"/>
      <c r="I570" s="13"/>
      <c r="J570" s="13"/>
      <c r="K570" s="13"/>
      <c r="L570" s="13"/>
      <c r="M570" s="13"/>
      <c r="N570" s="13"/>
      <c r="O570" s="13"/>
      <c r="P570" s="13"/>
    </row>
    <row r="571" spans="1:16" ht="12">
      <c r="A571" s="13"/>
      <c r="B571" s="13"/>
      <c r="C571" s="13"/>
      <c r="D571" s="13"/>
      <c r="E571" s="13"/>
      <c r="F571" s="13"/>
      <c r="G571" s="13"/>
      <c r="H571" s="13"/>
      <c r="I571" s="13"/>
      <c r="J571" s="13"/>
      <c r="K571" s="13"/>
      <c r="L571" s="13"/>
      <c r="M571" s="13"/>
      <c r="N571" s="13"/>
      <c r="O571" s="13"/>
      <c r="P571" s="13"/>
    </row>
    <row r="572" spans="1:16" ht="12">
      <c r="A572" s="13"/>
      <c r="B572" s="13"/>
      <c r="C572" s="13"/>
      <c r="D572" s="13"/>
      <c r="E572" s="13"/>
      <c r="F572" s="13"/>
      <c r="G572" s="13"/>
      <c r="H572" s="13"/>
      <c r="I572" s="13"/>
      <c r="J572" s="13"/>
      <c r="K572" s="13"/>
      <c r="L572" s="13"/>
      <c r="M572" s="13"/>
      <c r="N572" s="13"/>
      <c r="O572" s="13"/>
      <c r="P572" s="13"/>
    </row>
    <row r="573" spans="1:16" ht="12">
      <c r="A573" s="13"/>
      <c r="B573" s="13"/>
      <c r="C573" s="13"/>
      <c r="D573" s="13"/>
      <c r="E573" s="13"/>
      <c r="F573" s="13"/>
      <c r="G573" s="13"/>
      <c r="H573" s="13"/>
      <c r="I573" s="13"/>
      <c r="J573" s="13"/>
      <c r="K573" s="13"/>
      <c r="L573" s="13"/>
      <c r="M573" s="13"/>
      <c r="N573" s="13"/>
      <c r="O573" s="13"/>
      <c r="P573" s="13"/>
    </row>
    <row r="574" spans="1:16" ht="12">
      <c r="A574" s="13"/>
      <c r="B574" s="13"/>
      <c r="C574" s="13"/>
      <c r="D574" s="13"/>
      <c r="E574" s="13"/>
      <c r="F574" s="13"/>
      <c r="G574" s="13"/>
      <c r="H574" s="13"/>
      <c r="I574" s="13"/>
      <c r="J574" s="13"/>
      <c r="K574" s="13"/>
      <c r="L574" s="13"/>
      <c r="M574" s="13"/>
      <c r="N574" s="13"/>
      <c r="O574" s="13"/>
      <c r="P574" s="13"/>
    </row>
    <row r="575" spans="1:16" ht="12">
      <c r="A575" s="13"/>
      <c r="B575" s="13"/>
      <c r="C575" s="13"/>
      <c r="D575" s="13"/>
      <c r="E575" s="13"/>
      <c r="F575" s="13"/>
      <c r="G575" s="13"/>
      <c r="H575" s="13"/>
      <c r="I575" s="13"/>
      <c r="J575" s="13"/>
      <c r="K575" s="13"/>
      <c r="L575" s="13"/>
      <c r="M575" s="13"/>
      <c r="N575" s="13"/>
      <c r="O575" s="13"/>
      <c r="P575" s="13"/>
    </row>
    <row r="576" spans="1:16" ht="12">
      <c r="A576" s="13"/>
      <c r="B576" s="13"/>
      <c r="C576" s="13"/>
      <c r="D576" s="13"/>
      <c r="E576" s="13"/>
      <c r="F576" s="13"/>
      <c r="G576" s="13"/>
      <c r="H576" s="13"/>
      <c r="I576" s="13"/>
      <c r="J576" s="13"/>
      <c r="K576" s="13"/>
      <c r="L576" s="13"/>
      <c r="M576" s="13"/>
      <c r="N576" s="13"/>
      <c r="O576" s="13"/>
      <c r="P576" s="13"/>
    </row>
    <row r="577" spans="1:16" ht="12">
      <c r="A577" s="13"/>
      <c r="B577" s="13"/>
      <c r="C577" s="13"/>
      <c r="D577" s="13"/>
      <c r="E577" s="13"/>
      <c r="F577" s="13"/>
      <c r="G577" s="13"/>
      <c r="H577" s="13"/>
      <c r="I577" s="13"/>
      <c r="J577" s="13"/>
      <c r="K577" s="13"/>
      <c r="L577" s="13"/>
      <c r="M577" s="13"/>
      <c r="N577" s="13"/>
      <c r="O577" s="13"/>
      <c r="P577" s="13"/>
    </row>
    <row r="578" spans="1:16" ht="12">
      <c r="A578" s="13"/>
      <c r="B578" s="13"/>
      <c r="C578" s="13"/>
      <c r="D578" s="13"/>
      <c r="E578" s="13"/>
      <c r="F578" s="13"/>
      <c r="G578" s="13"/>
      <c r="H578" s="13"/>
      <c r="I578" s="13"/>
      <c r="J578" s="13"/>
      <c r="K578" s="13"/>
      <c r="L578" s="13"/>
      <c r="M578" s="13"/>
      <c r="N578" s="13"/>
      <c r="O578" s="13"/>
      <c r="P578" s="13"/>
    </row>
    <row r="579" spans="1:16" ht="12">
      <c r="A579" s="13"/>
      <c r="B579" s="13"/>
      <c r="C579" s="13"/>
      <c r="D579" s="13"/>
      <c r="E579" s="13"/>
      <c r="F579" s="13"/>
      <c r="G579" s="13"/>
      <c r="H579" s="13"/>
      <c r="I579" s="13"/>
      <c r="J579" s="13"/>
      <c r="K579" s="13"/>
      <c r="L579" s="13"/>
      <c r="M579" s="13"/>
      <c r="N579" s="13"/>
      <c r="O579" s="13"/>
      <c r="P579" s="13"/>
    </row>
    <row r="580" spans="1:16" ht="12">
      <c r="A580" s="13"/>
      <c r="B580" s="13"/>
      <c r="C580" s="13"/>
      <c r="D580" s="13"/>
      <c r="E580" s="13"/>
      <c r="F580" s="13"/>
      <c r="G580" s="13"/>
      <c r="H580" s="13"/>
      <c r="I580" s="13"/>
      <c r="J580" s="13"/>
      <c r="K580" s="13"/>
      <c r="L580" s="13"/>
      <c r="M580" s="13"/>
      <c r="N580" s="13"/>
      <c r="O580" s="13"/>
      <c r="P580" s="13"/>
    </row>
    <row r="581" spans="1:16" ht="12">
      <c r="A581" s="13"/>
      <c r="B581" s="13"/>
      <c r="C581" s="13"/>
      <c r="D581" s="13"/>
      <c r="E581" s="13"/>
      <c r="F581" s="13"/>
      <c r="G581" s="13"/>
      <c r="H581" s="13"/>
      <c r="I581" s="13"/>
      <c r="J581" s="13"/>
      <c r="K581" s="13"/>
      <c r="L581" s="13"/>
      <c r="M581" s="13"/>
      <c r="N581" s="13"/>
      <c r="O581" s="13"/>
      <c r="P581" s="13"/>
    </row>
    <row r="582" spans="1:16" ht="12">
      <c r="A582" s="13"/>
      <c r="B582" s="13"/>
      <c r="C582" s="13"/>
      <c r="D582" s="13"/>
      <c r="E582" s="13"/>
      <c r="F582" s="13"/>
      <c r="G582" s="13"/>
      <c r="H582" s="13"/>
      <c r="I582" s="13"/>
      <c r="J582" s="13"/>
      <c r="K582" s="13"/>
      <c r="L582" s="13"/>
      <c r="M582" s="13"/>
      <c r="N582" s="13"/>
      <c r="O582" s="13"/>
      <c r="P582" s="13"/>
    </row>
    <row r="583" spans="1:16" ht="12">
      <c r="A583" s="13"/>
      <c r="B583" s="13"/>
      <c r="C583" s="13"/>
      <c r="D583" s="13"/>
      <c r="E583" s="13"/>
      <c r="F583" s="13"/>
      <c r="G583" s="13"/>
      <c r="H583" s="13"/>
      <c r="I583" s="13"/>
      <c r="J583" s="13"/>
      <c r="K583" s="13"/>
      <c r="L583" s="13"/>
      <c r="M583" s="13"/>
      <c r="N583" s="13"/>
      <c r="O583" s="13"/>
      <c r="P583" s="13"/>
    </row>
    <row r="584" spans="1:16" ht="12">
      <c r="A584" s="13"/>
      <c r="B584" s="13"/>
      <c r="C584" s="13"/>
      <c r="D584" s="13"/>
      <c r="E584" s="13"/>
      <c r="F584" s="13"/>
      <c r="G584" s="13"/>
      <c r="H584" s="13"/>
      <c r="I584" s="13"/>
      <c r="J584" s="13"/>
      <c r="K584" s="13"/>
      <c r="L584" s="13"/>
      <c r="M584" s="13"/>
      <c r="N584" s="13"/>
      <c r="O584" s="13"/>
      <c r="P584" s="13"/>
    </row>
    <row r="585" spans="1:16" ht="12">
      <c r="A585" s="13"/>
      <c r="B585" s="13"/>
      <c r="C585" s="13"/>
      <c r="D585" s="13"/>
      <c r="E585" s="13"/>
      <c r="F585" s="13"/>
      <c r="G585" s="13"/>
      <c r="H585" s="13"/>
      <c r="I585" s="13"/>
      <c r="J585" s="13"/>
      <c r="K585" s="13"/>
      <c r="L585" s="13"/>
      <c r="M585" s="13"/>
      <c r="N585" s="13"/>
      <c r="O585" s="13"/>
      <c r="P585" s="13"/>
    </row>
    <row r="586" spans="1:16" ht="12">
      <c r="A586" s="13"/>
      <c r="B586" s="13"/>
      <c r="C586" s="13"/>
      <c r="D586" s="13"/>
      <c r="E586" s="13"/>
      <c r="F586" s="13"/>
      <c r="G586" s="13"/>
      <c r="H586" s="13"/>
      <c r="I586" s="13"/>
      <c r="J586" s="13"/>
      <c r="K586" s="13"/>
      <c r="L586" s="13"/>
      <c r="M586" s="13"/>
      <c r="N586" s="13"/>
      <c r="O586" s="13"/>
      <c r="P586" s="13"/>
    </row>
    <row r="587" spans="1:16" ht="12">
      <c r="A587" s="13"/>
      <c r="B587" s="13"/>
      <c r="C587" s="13"/>
      <c r="D587" s="13"/>
      <c r="E587" s="13"/>
      <c r="F587" s="13"/>
      <c r="G587" s="13"/>
      <c r="H587" s="13"/>
      <c r="I587" s="13"/>
      <c r="J587" s="13"/>
      <c r="K587" s="13"/>
      <c r="L587" s="13"/>
      <c r="M587" s="13"/>
      <c r="N587" s="13"/>
      <c r="O587" s="13"/>
      <c r="P587" s="13"/>
    </row>
    <row r="588" spans="1:16" ht="12">
      <c r="A588" s="13"/>
      <c r="B588" s="13"/>
      <c r="C588" s="13"/>
      <c r="D588" s="13"/>
      <c r="E588" s="13"/>
      <c r="F588" s="13"/>
      <c r="G588" s="13"/>
      <c r="H588" s="13"/>
      <c r="I588" s="13"/>
      <c r="J588" s="13"/>
      <c r="K588" s="13"/>
      <c r="L588" s="13"/>
      <c r="M588" s="13"/>
      <c r="N588" s="13"/>
      <c r="O588" s="13"/>
      <c r="P588" s="13"/>
    </row>
    <row r="589" spans="1:16" ht="12">
      <c r="A589" s="13"/>
      <c r="B589" s="13"/>
      <c r="C589" s="13"/>
      <c r="D589" s="13"/>
      <c r="E589" s="13"/>
      <c r="F589" s="13"/>
      <c r="G589" s="13"/>
      <c r="H589" s="13"/>
      <c r="I589" s="13"/>
      <c r="J589" s="13"/>
      <c r="K589" s="13"/>
      <c r="L589" s="13"/>
      <c r="M589" s="13"/>
      <c r="N589" s="13"/>
      <c r="O589" s="13"/>
      <c r="P589" s="13"/>
    </row>
    <row r="590" spans="1:16" ht="12">
      <c r="A590" s="13"/>
      <c r="B590" s="13"/>
      <c r="C590" s="13"/>
      <c r="D590" s="13"/>
      <c r="E590" s="13"/>
      <c r="F590" s="13"/>
      <c r="G590" s="13"/>
      <c r="H590" s="13"/>
      <c r="I590" s="13"/>
      <c r="J590" s="13"/>
      <c r="K590" s="13"/>
      <c r="L590" s="13"/>
      <c r="M590" s="13"/>
      <c r="N590" s="13"/>
      <c r="O590" s="13"/>
      <c r="P590" s="13"/>
    </row>
    <row r="591" spans="1:16" ht="12">
      <c r="A591" s="13"/>
      <c r="B591" s="13"/>
      <c r="C591" s="13"/>
      <c r="D591" s="13"/>
      <c r="E591" s="13"/>
      <c r="F591" s="13"/>
      <c r="G591" s="13"/>
      <c r="H591" s="13"/>
      <c r="I591" s="13"/>
      <c r="J591" s="13"/>
      <c r="K591" s="13"/>
      <c r="L591" s="13"/>
      <c r="M591" s="13"/>
      <c r="N591" s="13"/>
      <c r="O591" s="13"/>
      <c r="P591" s="13"/>
    </row>
    <row r="592" spans="1:16" ht="12">
      <c r="A592" s="13"/>
      <c r="B592" s="13"/>
      <c r="C592" s="13"/>
      <c r="D592" s="13"/>
      <c r="E592" s="13"/>
      <c r="F592" s="13"/>
      <c r="G592" s="13"/>
      <c r="H592" s="13"/>
      <c r="I592" s="13"/>
      <c r="J592" s="13"/>
      <c r="K592" s="13"/>
      <c r="L592" s="13"/>
      <c r="M592" s="13"/>
      <c r="N592" s="13"/>
      <c r="O592" s="13"/>
      <c r="P592" s="13"/>
    </row>
    <row r="593" spans="1:16" ht="12">
      <c r="A593" s="13"/>
      <c r="B593" s="13"/>
      <c r="C593" s="13"/>
      <c r="D593" s="13"/>
      <c r="E593" s="13"/>
      <c r="F593" s="13"/>
      <c r="G593" s="13"/>
      <c r="H593" s="13"/>
      <c r="I593" s="13"/>
      <c r="J593" s="13"/>
      <c r="K593" s="13"/>
      <c r="L593" s="13"/>
      <c r="M593" s="13"/>
      <c r="N593" s="13"/>
      <c r="O593" s="13"/>
      <c r="P593" s="13"/>
    </row>
    <row r="594" spans="1:16" ht="12">
      <c r="A594" s="13"/>
      <c r="B594" s="13"/>
      <c r="C594" s="13"/>
      <c r="D594" s="13"/>
      <c r="E594" s="13"/>
      <c r="F594" s="13"/>
      <c r="G594" s="13"/>
      <c r="H594" s="13"/>
      <c r="I594" s="13"/>
      <c r="J594" s="13"/>
      <c r="K594" s="13"/>
      <c r="L594" s="13"/>
      <c r="M594" s="13"/>
      <c r="N594" s="13"/>
      <c r="O594" s="13"/>
      <c r="P594" s="13"/>
    </row>
    <row r="595" spans="1:16" ht="12">
      <c r="A595" s="13"/>
      <c r="B595" s="13"/>
      <c r="C595" s="13"/>
      <c r="D595" s="13"/>
      <c r="E595" s="13"/>
      <c r="F595" s="13"/>
      <c r="G595" s="13"/>
      <c r="H595" s="13"/>
      <c r="I595" s="13"/>
      <c r="J595" s="13"/>
      <c r="K595" s="13"/>
      <c r="L595" s="13"/>
      <c r="M595" s="13"/>
      <c r="N595" s="13"/>
      <c r="O595" s="13"/>
      <c r="P595" s="13"/>
    </row>
    <row r="596" spans="1:16" ht="12">
      <c r="A596" s="13"/>
      <c r="B596" s="13"/>
      <c r="C596" s="13"/>
      <c r="D596" s="13"/>
      <c r="E596" s="13"/>
      <c r="F596" s="13"/>
      <c r="G596" s="13"/>
      <c r="H596" s="13"/>
      <c r="I596" s="13"/>
      <c r="J596" s="13"/>
      <c r="K596" s="13"/>
      <c r="L596" s="13"/>
      <c r="M596" s="13"/>
      <c r="N596" s="13"/>
      <c r="O596" s="13"/>
      <c r="P596" s="13"/>
    </row>
    <row r="597" spans="1:16" ht="12">
      <c r="A597" s="13"/>
      <c r="B597" s="13"/>
      <c r="C597" s="13"/>
      <c r="D597" s="13"/>
      <c r="E597" s="13"/>
      <c r="F597" s="13"/>
      <c r="G597" s="13"/>
      <c r="H597" s="13"/>
      <c r="I597" s="13"/>
      <c r="J597" s="13"/>
      <c r="K597" s="13"/>
      <c r="L597" s="13"/>
      <c r="M597" s="13"/>
      <c r="N597" s="13"/>
      <c r="O597" s="13"/>
      <c r="P597" s="13"/>
    </row>
    <row r="598" spans="1:16" ht="12">
      <c r="A598" s="13"/>
      <c r="B598" s="13"/>
      <c r="C598" s="13"/>
      <c r="D598" s="13"/>
      <c r="E598" s="13"/>
      <c r="F598" s="13"/>
      <c r="G598" s="13"/>
      <c r="H598" s="13"/>
      <c r="I598" s="13"/>
      <c r="J598" s="13"/>
      <c r="K598" s="13"/>
      <c r="L598" s="13"/>
      <c r="M598" s="13"/>
      <c r="N598" s="13"/>
      <c r="O598" s="13"/>
      <c r="P598" s="13"/>
    </row>
    <row r="599" spans="1:16" ht="12">
      <c r="A599" s="13"/>
      <c r="B599" s="13"/>
      <c r="C599" s="13"/>
      <c r="D599" s="13"/>
      <c r="E599" s="13"/>
      <c r="F599" s="13"/>
      <c r="G599" s="13"/>
      <c r="H599" s="13"/>
      <c r="I599" s="13"/>
      <c r="J599" s="13"/>
      <c r="K599" s="13"/>
      <c r="L599" s="13"/>
      <c r="M599" s="13"/>
      <c r="N599" s="13"/>
      <c r="O599" s="13"/>
      <c r="P599" s="13"/>
    </row>
    <row r="600" spans="1:16" ht="12">
      <c r="A600" s="13"/>
      <c r="B600" s="13"/>
      <c r="C600" s="13"/>
      <c r="D600" s="13"/>
      <c r="E600" s="13"/>
      <c r="F600" s="13"/>
      <c r="G600" s="13"/>
      <c r="H600" s="13"/>
      <c r="I600" s="13"/>
      <c r="J600" s="13"/>
      <c r="K600" s="13"/>
      <c r="L600" s="13"/>
      <c r="M600" s="13"/>
      <c r="N600" s="13"/>
      <c r="O600" s="13"/>
      <c r="P600" s="13"/>
    </row>
    <row r="601" spans="1:16" ht="12">
      <c r="A601" s="13"/>
      <c r="B601" s="13"/>
      <c r="C601" s="13"/>
      <c r="D601" s="13"/>
      <c r="E601" s="13"/>
      <c r="F601" s="13"/>
      <c r="G601" s="13"/>
      <c r="H601" s="13"/>
      <c r="I601" s="13"/>
      <c r="J601" s="13"/>
      <c r="K601" s="13"/>
      <c r="L601" s="13"/>
      <c r="M601" s="13"/>
      <c r="N601" s="13"/>
      <c r="O601" s="13"/>
      <c r="P601" s="13"/>
    </row>
    <row r="602" spans="1:16" ht="12">
      <c r="A602" s="13"/>
      <c r="B602" s="13"/>
      <c r="C602" s="13"/>
      <c r="D602" s="13"/>
      <c r="E602" s="13"/>
      <c r="F602" s="13"/>
      <c r="G602" s="13"/>
      <c r="H602" s="13"/>
      <c r="I602" s="13"/>
      <c r="J602" s="13"/>
      <c r="K602" s="13"/>
      <c r="L602" s="13"/>
      <c r="M602" s="13"/>
      <c r="N602" s="13"/>
      <c r="O602" s="13"/>
      <c r="P602" s="13"/>
    </row>
    <row r="603" spans="1:16" ht="12">
      <c r="A603" s="13"/>
      <c r="B603" s="13"/>
      <c r="C603" s="13"/>
      <c r="D603" s="13"/>
      <c r="E603" s="13"/>
      <c r="F603" s="13"/>
      <c r="G603" s="13"/>
      <c r="H603" s="13"/>
      <c r="I603" s="13"/>
      <c r="J603" s="13"/>
      <c r="K603" s="13"/>
      <c r="L603" s="13"/>
      <c r="M603" s="13"/>
      <c r="N603" s="13"/>
      <c r="O603" s="13"/>
      <c r="P603" s="13"/>
    </row>
    <row r="604" spans="1:16" ht="12">
      <c r="A604" s="13"/>
      <c r="B604" s="13"/>
      <c r="C604" s="13"/>
      <c r="D604" s="13"/>
      <c r="E604" s="13"/>
      <c r="F604" s="13"/>
      <c r="G604" s="13"/>
      <c r="H604" s="13"/>
      <c r="I604" s="13"/>
      <c r="J604" s="13"/>
      <c r="K604" s="13"/>
      <c r="L604" s="13"/>
      <c r="M604" s="13"/>
      <c r="N604" s="13"/>
      <c r="O604" s="13"/>
      <c r="P604" s="13"/>
    </row>
    <row r="605" spans="1:16" ht="12">
      <c r="A605" s="13"/>
      <c r="B605" s="13"/>
      <c r="C605" s="13"/>
      <c r="D605" s="13"/>
      <c r="E605" s="13"/>
      <c r="F605" s="13"/>
      <c r="G605" s="13"/>
      <c r="H605" s="13"/>
      <c r="I605" s="13"/>
      <c r="J605" s="13"/>
      <c r="K605" s="13"/>
      <c r="L605" s="13"/>
      <c r="M605" s="13"/>
      <c r="N605" s="13"/>
      <c r="O605" s="13"/>
      <c r="P605" s="13"/>
    </row>
    <row r="606" spans="1:16" ht="12">
      <c r="A606" s="13"/>
      <c r="B606" s="13"/>
      <c r="C606" s="13"/>
      <c r="D606" s="13"/>
      <c r="E606" s="13"/>
      <c r="F606" s="13"/>
      <c r="G606" s="13"/>
      <c r="H606" s="13"/>
      <c r="I606" s="13"/>
      <c r="J606" s="13"/>
      <c r="K606" s="13"/>
      <c r="L606" s="13"/>
      <c r="M606" s="13"/>
      <c r="N606" s="13"/>
      <c r="O606" s="13"/>
      <c r="P606" s="13"/>
    </row>
    <row r="607" spans="1:16" ht="12">
      <c r="A607" s="13"/>
      <c r="B607" s="13"/>
      <c r="C607" s="13"/>
      <c r="D607" s="13"/>
      <c r="E607" s="13"/>
      <c r="F607" s="13"/>
      <c r="G607" s="13"/>
      <c r="H607" s="13"/>
      <c r="I607" s="13"/>
      <c r="J607" s="13"/>
      <c r="K607" s="13"/>
      <c r="L607" s="13"/>
      <c r="M607" s="13"/>
      <c r="N607" s="13"/>
      <c r="O607" s="13"/>
      <c r="P607" s="13"/>
    </row>
    <row r="608" spans="1:16" ht="12">
      <c r="A608" s="13"/>
      <c r="B608" s="13"/>
      <c r="C608" s="13"/>
      <c r="D608" s="13"/>
      <c r="E608" s="13"/>
      <c r="F608" s="13"/>
      <c r="G608" s="13"/>
      <c r="H608" s="13"/>
      <c r="I608" s="13"/>
      <c r="J608" s="13"/>
      <c r="K608" s="13"/>
      <c r="L608" s="13"/>
      <c r="M608" s="13"/>
      <c r="N608" s="13"/>
      <c r="O608" s="13"/>
      <c r="P608" s="13"/>
    </row>
    <row r="609" spans="1:16" ht="12">
      <c r="A609" s="13"/>
      <c r="B609" s="13"/>
      <c r="C609" s="13"/>
      <c r="D609" s="13"/>
      <c r="E609" s="13"/>
      <c r="F609" s="13"/>
      <c r="G609" s="13"/>
      <c r="H609" s="13"/>
      <c r="I609" s="13"/>
      <c r="J609" s="13"/>
      <c r="K609" s="13"/>
      <c r="L609" s="13"/>
      <c r="M609" s="13"/>
      <c r="N609" s="13"/>
      <c r="O609" s="13"/>
      <c r="P609" s="13"/>
    </row>
    <row r="610" spans="1:16" ht="12">
      <c r="A610" s="13"/>
      <c r="B610" s="13"/>
      <c r="C610" s="13"/>
      <c r="D610" s="13"/>
      <c r="E610" s="13"/>
      <c r="F610" s="13"/>
      <c r="G610" s="13"/>
      <c r="H610" s="13"/>
      <c r="I610" s="13"/>
      <c r="J610" s="13"/>
      <c r="K610" s="13"/>
      <c r="L610" s="13"/>
      <c r="M610" s="13"/>
      <c r="N610" s="13"/>
      <c r="O610" s="13"/>
      <c r="P610" s="13"/>
    </row>
    <row r="611" spans="1:16" ht="12">
      <c r="A611" s="13"/>
      <c r="B611" s="13"/>
      <c r="C611" s="13"/>
      <c r="D611" s="13"/>
      <c r="E611" s="13"/>
      <c r="F611" s="13"/>
      <c r="G611" s="13"/>
      <c r="H611" s="13"/>
      <c r="I611" s="13"/>
      <c r="J611" s="13"/>
      <c r="K611" s="13"/>
      <c r="L611" s="13"/>
      <c r="M611" s="13"/>
      <c r="N611" s="13"/>
      <c r="O611" s="13"/>
      <c r="P611" s="13"/>
    </row>
    <row r="612" spans="1:16" ht="12">
      <c r="A612" s="13"/>
      <c r="B612" s="13"/>
      <c r="C612" s="13"/>
      <c r="D612" s="13"/>
      <c r="E612" s="13"/>
      <c r="F612" s="13"/>
      <c r="G612" s="13"/>
      <c r="H612" s="13"/>
      <c r="I612" s="13"/>
      <c r="J612" s="13"/>
      <c r="K612" s="13"/>
      <c r="L612" s="13"/>
      <c r="M612" s="13"/>
      <c r="N612" s="13"/>
      <c r="O612" s="13"/>
      <c r="P612" s="13"/>
    </row>
    <row r="613" spans="1:16" ht="12">
      <c r="A613" s="13"/>
      <c r="B613" s="13"/>
      <c r="C613" s="13"/>
      <c r="D613" s="13"/>
      <c r="E613" s="13"/>
      <c r="F613" s="13"/>
      <c r="G613" s="13"/>
      <c r="H613" s="13"/>
      <c r="I613" s="13"/>
      <c r="J613" s="13"/>
      <c r="K613" s="13"/>
      <c r="L613" s="13"/>
      <c r="M613" s="13"/>
      <c r="N613" s="13"/>
      <c r="O613" s="13"/>
      <c r="P613" s="13"/>
    </row>
    <row r="614" spans="1:16" ht="12">
      <c r="A614" s="13"/>
      <c r="B614" s="13"/>
      <c r="C614" s="13"/>
      <c r="D614" s="13"/>
      <c r="E614" s="13"/>
      <c r="F614" s="13"/>
      <c r="G614" s="13"/>
      <c r="H614" s="13"/>
      <c r="I614" s="13"/>
      <c r="J614" s="13"/>
      <c r="K614" s="13"/>
      <c r="L614" s="13"/>
      <c r="M614" s="13"/>
      <c r="N614" s="13"/>
      <c r="O614" s="13"/>
      <c r="P614" s="13"/>
    </row>
    <row r="615" spans="1:16" ht="12">
      <c r="A615" s="13"/>
      <c r="B615" s="13"/>
      <c r="C615" s="13"/>
      <c r="D615" s="13"/>
      <c r="E615" s="13"/>
      <c r="F615" s="13"/>
      <c r="G615" s="13"/>
      <c r="H615" s="13"/>
      <c r="I615" s="13"/>
      <c r="J615" s="13"/>
      <c r="K615" s="13"/>
      <c r="L615" s="13"/>
      <c r="M615" s="13"/>
      <c r="N615" s="13"/>
      <c r="O615" s="13"/>
      <c r="P615" s="13"/>
    </row>
    <row r="616" spans="1:16" ht="12">
      <c r="A616" s="13"/>
      <c r="B616" s="13"/>
      <c r="C616" s="13"/>
      <c r="D616" s="13"/>
      <c r="E616" s="13"/>
      <c r="F616" s="13"/>
      <c r="G616" s="13"/>
      <c r="H616" s="13"/>
      <c r="I616" s="13"/>
      <c r="J616" s="13"/>
      <c r="K616" s="13"/>
      <c r="L616" s="13"/>
      <c r="M616" s="13"/>
      <c r="N616" s="13"/>
      <c r="O616" s="13"/>
      <c r="P616" s="13"/>
    </row>
    <row r="617" spans="1:16" ht="12">
      <c r="A617" s="13"/>
      <c r="B617" s="13"/>
      <c r="C617" s="13"/>
      <c r="D617" s="13"/>
      <c r="E617" s="13"/>
      <c r="F617" s="13"/>
      <c r="G617" s="13"/>
      <c r="H617" s="13"/>
      <c r="I617" s="13"/>
      <c r="J617" s="13"/>
      <c r="K617" s="13"/>
      <c r="L617" s="13"/>
      <c r="M617" s="13"/>
      <c r="N617" s="13"/>
      <c r="O617" s="13"/>
      <c r="P617" s="13"/>
    </row>
    <row r="618" spans="1:16" ht="12">
      <c r="A618" s="13"/>
      <c r="B618" s="13"/>
      <c r="C618" s="13"/>
      <c r="D618" s="13"/>
      <c r="E618" s="13"/>
      <c r="F618" s="13"/>
      <c r="G618" s="13"/>
      <c r="H618" s="13"/>
      <c r="I618" s="13"/>
      <c r="J618" s="13"/>
      <c r="K618" s="13"/>
      <c r="L618" s="13"/>
      <c r="M618" s="13"/>
      <c r="N618" s="13"/>
      <c r="O618" s="13"/>
      <c r="P618" s="13"/>
    </row>
    <row r="619" spans="1:16" ht="12">
      <c r="A619" s="13"/>
      <c r="B619" s="13"/>
      <c r="C619" s="13"/>
      <c r="D619" s="13"/>
      <c r="E619" s="13"/>
      <c r="F619" s="13"/>
      <c r="G619" s="13"/>
      <c r="H619" s="13"/>
      <c r="I619" s="13"/>
      <c r="J619" s="13"/>
      <c r="K619" s="13"/>
      <c r="L619" s="13"/>
      <c r="M619" s="13"/>
      <c r="N619" s="13"/>
      <c r="O619" s="13"/>
      <c r="P619" s="13"/>
    </row>
    <row r="620" spans="1:16" ht="12">
      <c r="A620" s="13"/>
      <c r="B620" s="13"/>
      <c r="C620" s="13"/>
      <c r="D620" s="13"/>
      <c r="E620" s="13"/>
      <c r="F620" s="13"/>
      <c r="G620" s="13"/>
      <c r="H620" s="13"/>
      <c r="I620" s="13"/>
      <c r="J620" s="13"/>
      <c r="K620" s="13"/>
      <c r="L620" s="13"/>
      <c r="M620" s="13"/>
      <c r="N620" s="13"/>
      <c r="O620" s="13"/>
      <c r="P620" s="13"/>
    </row>
    <row r="621" spans="1:16" ht="12">
      <c r="A621" s="13"/>
      <c r="B621" s="13"/>
      <c r="C621" s="13"/>
      <c r="D621" s="13"/>
      <c r="E621" s="13"/>
      <c r="F621" s="13"/>
      <c r="G621" s="13"/>
      <c r="H621" s="13"/>
      <c r="I621" s="13"/>
      <c r="J621" s="13"/>
      <c r="K621" s="13"/>
      <c r="L621" s="13"/>
      <c r="M621" s="13"/>
      <c r="N621" s="13"/>
      <c r="O621" s="13"/>
      <c r="P621" s="13"/>
    </row>
    <row r="622" spans="1:16" ht="12">
      <c r="A622" s="13"/>
      <c r="B622" s="13"/>
      <c r="C622" s="13"/>
      <c r="D622" s="13"/>
      <c r="E622" s="13"/>
      <c r="F622" s="13"/>
      <c r="G622" s="13"/>
      <c r="H622" s="13"/>
      <c r="I622" s="13"/>
      <c r="J622" s="13"/>
      <c r="K622" s="13"/>
      <c r="L622" s="13"/>
      <c r="M622" s="13"/>
      <c r="N622" s="13"/>
      <c r="O622" s="13"/>
      <c r="P622" s="13"/>
    </row>
    <row r="623" spans="1:16" ht="12">
      <c r="A623" s="13"/>
      <c r="B623" s="13"/>
      <c r="C623" s="13"/>
      <c r="D623" s="13"/>
      <c r="E623" s="13"/>
      <c r="F623" s="13"/>
      <c r="G623" s="13"/>
      <c r="H623" s="13"/>
      <c r="I623" s="13"/>
      <c r="J623" s="13"/>
      <c r="K623" s="13"/>
      <c r="L623" s="13"/>
      <c r="M623" s="13"/>
      <c r="N623" s="13"/>
      <c r="O623" s="13"/>
      <c r="P623" s="13"/>
    </row>
    <row r="624" spans="1:16" ht="12">
      <c r="A624" s="13"/>
      <c r="B624" s="13"/>
      <c r="C624" s="13"/>
      <c r="D624" s="13"/>
      <c r="E624" s="13"/>
      <c r="F624" s="13"/>
      <c r="G624" s="13"/>
      <c r="H624" s="13"/>
      <c r="I624" s="13"/>
      <c r="J624" s="13"/>
      <c r="K624" s="13"/>
      <c r="L624" s="13"/>
      <c r="M624" s="13"/>
      <c r="N624" s="13"/>
      <c r="O624" s="13"/>
      <c r="P624" s="13"/>
    </row>
    <row r="625" spans="1:16" ht="12">
      <c r="A625" s="13"/>
      <c r="B625" s="13"/>
      <c r="C625" s="13"/>
      <c r="D625" s="13"/>
      <c r="E625" s="13"/>
      <c r="F625" s="13"/>
      <c r="G625" s="13"/>
      <c r="H625" s="13"/>
      <c r="I625" s="13"/>
      <c r="J625" s="13"/>
      <c r="K625" s="13"/>
      <c r="L625" s="13"/>
      <c r="M625" s="13"/>
      <c r="N625" s="13"/>
      <c r="O625" s="13"/>
      <c r="P625" s="13"/>
    </row>
    <row r="626" spans="1:16" ht="12">
      <c r="A626" s="13"/>
      <c r="B626" s="13"/>
      <c r="C626" s="13"/>
      <c r="D626" s="13"/>
      <c r="E626" s="13"/>
      <c r="F626" s="13"/>
      <c r="G626" s="13"/>
      <c r="H626" s="13"/>
      <c r="I626" s="13"/>
      <c r="J626" s="13"/>
      <c r="K626" s="13"/>
      <c r="L626" s="13"/>
      <c r="M626" s="13"/>
      <c r="N626" s="13"/>
      <c r="O626" s="13"/>
      <c r="P626" s="13"/>
    </row>
    <row r="627" spans="1:16" ht="12">
      <c r="A627" s="13"/>
      <c r="B627" s="13"/>
      <c r="C627" s="13"/>
      <c r="D627" s="13"/>
      <c r="E627" s="13"/>
      <c r="F627" s="13"/>
      <c r="G627" s="13"/>
      <c r="H627" s="13"/>
      <c r="I627" s="13"/>
      <c r="J627" s="13"/>
      <c r="K627" s="13"/>
      <c r="L627" s="13"/>
      <c r="M627" s="13"/>
      <c r="N627" s="13"/>
      <c r="O627" s="13"/>
      <c r="P627" s="13"/>
    </row>
    <row r="628" spans="1:16" ht="12">
      <c r="A628" s="13"/>
      <c r="B628" s="13"/>
      <c r="C628" s="13"/>
      <c r="D628" s="13"/>
      <c r="E628" s="13"/>
      <c r="F628" s="13"/>
      <c r="G628" s="13"/>
      <c r="H628" s="13"/>
      <c r="I628" s="13"/>
      <c r="J628" s="13"/>
      <c r="K628" s="13"/>
      <c r="L628" s="13"/>
      <c r="M628" s="13"/>
      <c r="N628" s="13"/>
      <c r="O628" s="13"/>
      <c r="P628" s="13"/>
    </row>
    <row r="629" spans="1:16" ht="12">
      <c r="A629" s="13"/>
      <c r="B629" s="13"/>
      <c r="C629" s="13"/>
      <c r="D629" s="13"/>
      <c r="E629" s="13"/>
      <c r="F629" s="13"/>
      <c r="G629" s="13"/>
      <c r="H629" s="13"/>
      <c r="I629" s="13"/>
      <c r="J629" s="13"/>
      <c r="K629" s="13"/>
      <c r="L629" s="13"/>
      <c r="M629" s="13"/>
      <c r="N629" s="13"/>
      <c r="O629" s="13"/>
      <c r="P629" s="13"/>
    </row>
    <row r="630" spans="1:16" ht="12">
      <c r="A630" s="13"/>
      <c r="B630" s="13"/>
      <c r="C630" s="13"/>
      <c r="D630" s="13"/>
      <c r="E630" s="13"/>
      <c r="F630" s="13"/>
      <c r="G630" s="13"/>
      <c r="H630" s="13"/>
      <c r="I630" s="13"/>
      <c r="J630" s="13"/>
      <c r="K630" s="13"/>
      <c r="L630" s="13"/>
      <c r="M630" s="13"/>
      <c r="N630" s="13"/>
      <c r="O630" s="13"/>
      <c r="P630" s="13"/>
    </row>
    <row r="631" spans="1:16" ht="12">
      <c r="A631" s="13"/>
      <c r="B631" s="13"/>
      <c r="C631" s="13"/>
      <c r="D631" s="13"/>
      <c r="E631" s="13"/>
      <c r="F631" s="13"/>
      <c r="G631" s="13"/>
      <c r="H631" s="13"/>
      <c r="I631" s="13"/>
      <c r="J631" s="13"/>
      <c r="K631" s="13"/>
      <c r="L631" s="13"/>
      <c r="M631" s="13"/>
      <c r="N631" s="13"/>
      <c r="O631" s="13"/>
      <c r="P631" s="13"/>
    </row>
    <row r="632" spans="1:16" ht="12">
      <c r="A632" s="13"/>
      <c r="B632" s="13"/>
      <c r="C632" s="13"/>
      <c r="D632" s="13"/>
      <c r="E632" s="13"/>
      <c r="F632" s="13"/>
      <c r="G632" s="13"/>
      <c r="H632" s="13"/>
      <c r="I632" s="13"/>
      <c r="J632" s="13"/>
      <c r="K632" s="13"/>
      <c r="L632" s="13"/>
      <c r="M632" s="13"/>
      <c r="N632" s="13"/>
      <c r="O632" s="13"/>
      <c r="P632" s="13"/>
    </row>
    <row r="633" spans="1:16" ht="12">
      <c r="A633" s="13"/>
      <c r="B633" s="13"/>
      <c r="C633" s="13"/>
      <c r="D633" s="13"/>
      <c r="E633" s="13"/>
      <c r="F633" s="13"/>
      <c r="G633" s="13"/>
      <c r="H633" s="13"/>
      <c r="I633" s="13"/>
      <c r="J633" s="13"/>
      <c r="K633" s="13"/>
      <c r="L633" s="13"/>
      <c r="M633" s="13"/>
      <c r="N633" s="13"/>
      <c r="O633" s="13"/>
      <c r="P633" s="13"/>
    </row>
    <row r="634" spans="1:16" ht="12">
      <c r="A634" s="13"/>
      <c r="B634" s="13"/>
      <c r="C634" s="13"/>
      <c r="D634" s="13"/>
      <c r="E634" s="13"/>
      <c r="F634" s="13"/>
      <c r="G634" s="13"/>
      <c r="H634" s="13"/>
      <c r="I634" s="13"/>
      <c r="J634" s="13"/>
      <c r="K634" s="13"/>
      <c r="L634" s="13"/>
      <c r="M634" s="13"/>
      <c r="N634" s="13"/>
      <c r="O634" s="13"/>
      <c r="P634" s="13"/>
    </row>
    <row r="635" spans="1:16" ht="12">
      <c r="A635" s="13"/>
      <c r="B635" s="13"/>
      <c r="C635" s="13"/>
      <c r="D635" s="13"/>
      <c r="E635" s="13"/>
      <c r="F635" s="13"/>
      <c r="G635" s="13"/>
      <c r="H635" s="13"/>
      <c r="I635" s="13"/>
      <c r="J635" s="13"/>
      <c r="K635" s="13"/>
      <c r="L635" s="13"/>
      <c r="M635" s="13"/>
      <c r="N635" s="13"/>
      <c r="O635" s="13"/>
      <c r="P635" s="13"/>
    </row>
    <row r="636" spans="1:16" ht="12">
      <c r="A636" s="13"/>
      <c r="B636" s="13"/>
      <c r="C636" s="13"/>
      <c r="D636" s="13"/>
      <c r="E636" s="13"/>
      <c r="F636" s="13"/>
      <c r="G636" s="13"/>
      <c r="H636" s="13"/>
      <c r="I636" s="13"/>
      <c r="J636" s="13"/>
      <c r="K636" s="13"/>
      <c r="L636" s="13"/>
      <c r="M636" s="13"/>
      <c r="N636" s="13"/>
      <c r="O636" s="13"/>
      <c r="P636" s="13"/>
    </row>
    <row r="637" spans="1:16" ht="12">
      <c r="A637" s="13"/>
      <c r="B637" s="13"/>
      <c r="C637" s="13"/>
      <c r="D637" s="13"/>
      <c r="E637" s="13"/>
      <c r="F637" s="13"/>
      <c r="G637" s="13"/>
      <c r="H637" s="13"/>
      <c r="I637" s="13"/>
      <c r="J637" s="13"/>
      <c r="K637" s="13"/>
      <c r="L637" s="13"/>
      <c r="M637" s="13"/>
      <c r="N637" s="13"/>
      <c r="O637" s="13"/>
      <c r="P637" s="13"/>
    </row>
    <row r="638" spans="1:16" ht="12">
      <c r="A638" s="13"/>
      <c r="B638" s="13"/>
      <c r="C638" s="13"/>
      <c r="D638" s="13"/>
      <c r="E638" s="13"/>
      <c r="F638" s="13"/>
      <c r="G638" s="13"/>
      <c r="H638" s="13"/>
      <c r="I638" s="13"/>
      <c r="J638" s="13"/>
      <c r="K638" s="13"/>
      <c r="L638" s="13"/>
      <c r="M638" s="13"/>
      <c r="N638" s="13"/>
      <c r="O638" s="13"/>
      <c r="P638" s="13"/>
    </row>
    <row r="639" spans="1:16" ht="12">
      <c r="A639" s="13"/>
      <c r="B639" s="13"/>
      <c r="C639" s="13"/>
      <c r="D639" s="13"/>
      <c r="E639" s="13"/>
      <c r="F639" s="13"/>
      <c r="G639" s="13"/>
      <c r="H639" s="13"/>
      <c r="I639" s="13"/>
      <c r="J639" s="13"/>
      <c r="K639" s="13"/>
      <c r="L639" s="13"/>
      <c r="M639" s="13"/>
      <c r="N639" s="13"/>
      <c r="O639" s="13"/>
      <c r="P639" s="13"/>
    </row>
    <row r="640" spans="1:16" ht="12">
      <c r="A640" s="13"/>
      <c r="B640" s="13"/>
      <c r="C640" s="13"/>
      <c r="D640" s="13"/>
      <c r="E640" s="13"/>
      <c r="F640" s="13"/>
      <c r="G640" s="13"/>
      <c r="H640" s="13"/>
      <c r="I640" s="13"/>
      <c r="J640" s="13"/>
      <c r="K640" s="13"/>
      <c r="L640" s="13"/>
      <c r="M640" s="13"/>
      <c r="N640" s="13"/>
      <c r="O640" s="13"/>
      <c r="P640" s="13"/>
    </row>
    <row r="641" spans="1:16" ht="12">
      <c r="A641" s="13"/>
      <c r="B641" s="13"/>
      <c r="C641" s="13"/>
      <c r="D641" s="13"/>
      <c r="E641" s="13"/>
      <c r="F641" s="13"/>
      <c r="G641" s="13"/>
      <c r="H641" s="13"/>
      <c r="I641" s="13"/>
      <c r="J641" s="13"/>
      <c r="K641" s="13"/>
      <c r="L641" s="13"/>
      <c r="M641" s="13"/>
      <c r="N641" s="13"/>
      <c r="O641" s="13"/>
      <c r="P641" s="13"/>
    </row>
    <row r="642" spans="1:16" ht="12">
      <c r="A642" s="13"/>
      <c r="B642" s="13"/>
      <c r="C642" s="13"/>
      <c r="D642" s="13"/>
      <c r="E642" s="13"/>
      <c r="F642" s="13"/>
      <c r="G642" s="13"/>
      <c r="H642" s="13"/>
      <c r="I642" s="13"/>
      <c r="J642" s="13"/>
      <c r="K642" s="13"/>
      <c r="L642" s="13"/>
      <c r="M642" s="13"/>
      <c r="N642" s="13"/>
      <c r="O642" s="13"/>
      <c r="P642" s="13"/>
    </row>
    <row r="643" spans="1:16" ht="12">
      <c r="A643" s="13"/>
      <c r="B643" s="13"/>
      <c r="C643" s="13"/>
      <c r="D643" s="13"/>
      <c r="E643" s="13"/>
      <c r="F643" s="13"/>
      <c r="G643" s="13"/>
      <c r="H643" s="13"/>
      <c r="I643" s="13"/>
      <c r="J643" s="13"/>
      <c r="K643" s="13"/>
      <c r="L643" s="13"/>
      <c r="M643" s="13"/>
      <c r="N643" s="13"/>
      <c r="O643" s="13"/>
      <c r="P643" s="13"/>
    </row>
    <row r="644" spans="1:16" ht="12">
      <c r="A644" s="13"/>
      <c r="B644" s="13"/>
      <c r="C644" s="13"/>
      <c r="D644" s="13"/>
      <c r="E644" s="13"/>
      <c r="F644" s="13"/>
      <c r="G644" s="13"/>
      <c r="H644" s="13"/>
      <c r="I644" s="13"/>
      <c r="J644" s="13"/>
      <c r="K644" s="13"/>
      <c r="L644" s="13"/>
      <c r="M644" s="13"/>
      <c r="N644" s="13"/>
      <c r="O644" s="13"/>
      <c r="P644" s="13"/>
    </row>
    <row r="645" spans="1:16" ht="12">
      <c r="A645" s="13"/>
      <c r="B645" s="13"/>
      <c r="C645" s="13"/>
      <c r="D645" s="13"/>
      <c r="E645" s="13"/>
      <c r="F645" s="13"/>
      <c r="G645" s="13"/>
      <c r="H645" s="13"/>
      <c r="I645" s="13"/>
      <c r="J645" s="13"/>
      <c r="K645" s="13"/>
      <c r="L645" s="13"/>
      <c r="M645" s="13"/>
      <c r="N645" s="13"/>
      <c r="O645" s="13"/>
      <c r="P645" s="13"/>
    </row>
    <row r="646" spans="1:16" ht="12">
      <c r="A646" s="13"/>
      <c r="B646" s="13"/>
      <c r="C646" s="13"/>
      <c r="D646" s="13"/>
      <c r="E646" s="13"/>
      <c r="F646" s="13"/>
      <c r="G646" s="13"/>
      <c r="H646" s="13"/>
      <c r="I646" s="13"/>
      <c r="J646" s="13"/>
      <c r="K646" s="13"/>
      <c r="L646" s="13"/>
      <c r="M646" s="13"/>
      <c r="N646" s="13"/>
      <c r="O646" s="13"/>
      <c r="P646" s="13"/>
    </row>
    <row r="647" spans="1:16" ht="12">
      <c r="A647" s="13"/>
      <c r="B647" s="13"/>
      <c r="C647" s="13"/>
      <c r="D647" s="13"/>
      <c r="E647" s="13"/>
      <c r="F647" s="13"/>
      <c r="G647" s="13"/>
      <c r="H647" s="13"/>
      <c r="I647" s="13"/>
      <c r="J647" s="13"/>
      <c r="K647" s="13"/>
      <c r="L647" s="13"/>
      <c r="M647" s="13"/>
      <c r="N647" s="13"/>
      <c r="O647" s="13"/>
      <c r="P647" s="13"/>
    </row>
    <row r="648" spans="1:16" ht="12">
      <c r="A648" s="13"/>
      <c r="B648" s="13"/>
      <c r="C648" s="13"/>
      <c r="D648" s="13"/>
      <c r="E648" s="13"/>
      <c r="F648" s="13"/>
      <c r="G648" s="13"/>
      <c r="H648" s="13"/>
      <c r="I648" s="13"/>
      <c r="J648" s="13"/>
      <c r="K648" s="13"/>
      <c r="L648" s="13"/>
      <c r="M648" s="13"/>
      <c r="N648" s="13"/>
      <c r="O648" s="13"/>
      <c r="P648" s="13"/>
    </row>
    <row r="649" spans="1:16" ht="12">
      <c r="A649" s="13"/>
      <c r="B649" s="13"/>
      <c r="C649" s="13"/>
      <c r="D649" s="13"/>
      <c r="E649" s="13"/>
      <c r="F649" s="13"/>
      <c r="G649" s="13"/>
      <c r="H649" s="13"/>
      <c r="I649" s="13"/>
      <c r="J649" s="13"/>
      <c r="K649" s="13"/>
      <c r="L649" s="13"/>
      <c r="M649" s="13"/>
      <c r="N649" s="13"/>
      <c r="O649" s="13"/>
      <c r="P649" s="13"/>
    </row>
    <row r="650" spans="1:16" ht="12">
      <c r="A650" s="13"/>
      <c r="B650" s="13"/>
      <c r="C650" s="13"/>
      <c r="D650" s="13"/>
      <c r="E650" s="13"/>
      <c r="F650" s="13"/>
      <c r="G650" s="13"/>
      <c r="H650" s="13"/>
      <c r="I650" s="13"/>
      <c r="J650" s="13"/>
      <c r="K650" s="13"/>
      <c r="L650" s="13"/>
      <c r="M650" s="13"/>
      <c r="N650" s="13"/>
      <c r="O650" s="13"/>
      <c r="P650" s="13"/>
    </row>
    <row r="651" spans="1:16" ht="12">
      <c r="A651" s="13"/>
      <c r="B651" s="13"/>
      <c r="C651" s="13"/>
      <c r="D651" s="13"/>
      <c r="E651" s="13"/>
      <c r="F651" s="13"/>
      <c r="G651" s="13"/>
      <c r="H651" s="13"/>
      <c r="I651" s="13"/>
      <c r="J651" s="13"/>
      <c r="K651" s="13"/>
      <c r="L651" s="13"/>
      <c r="M651" s="13"/>
      <c r="N651" s="13"/>
      <c r="O651" s="13"/>
      <c r="P651" s="13"/>
    </row>
    <row r="652" spans="1:16" ht="12">
      <c r="A652" s="13"/>
      <c r="B652" s="13"/>
      <c r="C652" s="13"/>
      <c r="D652" s="13"/>
      <c r="E652" s="13"/>
      <c r="F652" s="13"/>
      <c r="G652" s="13"/>
      <c r="H652" s="13"/>
      <c r="I652" s="13"/>
      <c r="J652" s="13"/>
      <c r="K652" s="13"/>
      <c r="L652" s="13"/>
      <c r="M652" s="13"/>
      <c r="N652" s="13"/>
      <c r="O652" s="13"/>
      <c r="P652" s="13"/>
    </row>
    <row r="653" spans="1:16" ht="12">
      <c r="A653" s="13"/>
      <c r="B653" s="13"/>
      <c r="C653" s="13"/>
      <c r="D653" s="13"/>
      <c r="E653" s="13"/>
      <c r="F653" s="13"/>
      <c r="G653" s="13"/>
      <c r="H653" s="13"/>
      <c r="I653" s="13"/>
      <c r="J653" s="13"/>
      <c r="K653" s="13"/>
      <c r="L653" s="13"/>
      <c r="M653" s="13"/>
      <c r="N653" s="13"/>
      <c r="O653" s="13"/>
      <c r="P653" s="13"/>
    </row>
    <row r="654" spans="1:16" ht="12">
      <c r="A654" s="13"/>
      <c r="B654" s="13"/>
      <c r="C654" s="13"/>
      <c r="D654" s="13"/>
      <c r="E654" s="13"/>
      <c r="F654" s="13"/>
      <c r="G654" s="13"/>
      <c r="H654" s="13"/>
      <c r="I654" s="13"/>
      <c r="J654" s="13"/>
      <c r="K654" s="13"/>
      <c r="L654" s="13"/>
      <c r="M654" s="13"/>
      <c r="N654" s="13"/>
      <c r="O654" s="13"/>
      <c r="P654" s="13"/>
    </row>
    <row r="655" spans="1:16" ht="12">
      <c r="A655" s="13"/>
      <c r="B655" s="13"/>
      <c r="C655" s="13"/>
      <c r="D655" s="13"/>
      <c r="E655" s="13"/>
      <c r="F655" s="13"/>
      <c r="G655" s="13"/>
      <c r="H655" s="13"/>
      <c r="I655" s="13"/>
      <c r="J655" s="13"/>
      <c r="K655" s="13"/>
      <c r="L655" s="13"/>
      <c r="M655" s="13"/>
      <c r="N655" s="13"/>
      <c r="O655" s="13"/>
      <c r="P655" s="13"/>
    </row>
    <row r="656" spans="1:16" ht="12">
      <c r="A656" s="13"/>
      <c r="B656" s="13"/>
      <c r="C656" s="13"/>
      <c r="D656" s="13"/>
      <c r="E656" s="13"/>
      <c r="F656" s="13"/>
      <c r="G656" s="13"/>
      <c r="H656" s="13"/>
      <c r="I656" s="13"/>
      <c r="J656" s="13"/>
      <c r="K656" s="13"/>
      <c r="L656" s="13"/>
      <c r="M656" s="13"/>
      <c r="N656" s="13"/>
      <c r="O656" s="13"/>
      <c r="P656" s="13"/>
    </row>
    <row r="657" spans="1:16" ht="12">
      <c r="A657" s="13"/>
      <c r="B657" s="13"/>
      <c r="C657" s="13"/>
      <c r="D657" s="13"/>
      <c r="E657" s="13"/>
      <c r="F657" s="13"/>
      <c r="G657" s="13"/>
      <c r="H657" s="13"/>
      <c r="I657" s="13"/>
      <c r="J657" s="13"/>
      <c r="K657" s="13"/>
      <c r="L657" s="13"/>
      <c r="M657" s="13"/>
      <c r="N657" s="13"/>
      <c r="O657" s="13"/>
      <c r="P657" s="13"/>
    </row>
    <row r="658" spans="1:16" ht="12">
      <c r="A658" s="13"/>
      <c r="B658" s="13"/>
      <c r="C658" s="13"/>
      <c r="D658" s="13"/>
      <c r="E658" s="13"/>
      <c r="F658" s="13"/>
      <c r="G658" s="13"/>
      <c r="H658" s="13"/>
      <c r="I658" s="13"/>
      <c r="J658" s="13"/>
      <c r="K658" s="13"/>
      <c r="L658" s="13"/>
      <c r="M658" s="13"/>
      <c r="N658" s="13"/>
      <c r="O658" s="13"/>
      <c r="P658" s="13"/>
    </row>
    <row r="659" spans="1:16" ht="12">
      <c r="A659" s="13"/>
      <c r="B659" s="13"/>
      <c r="C659" s="13"/>
      <c r="D659" s="13"/>
      <c r="E659" s="13"/>
      <c r="F659" s="13"/>
      <c r="G659" s="13"/>
      <c r="H659" s="13"/>
      <c r="I659" s="13"/>
      <c r="J659" s="13"/>
      <c r="K659" s="13"/>
      <c r="L659" s="13"/>
      <c r="M659" s="13"/>
      <c r="N659" s="13"/>
      <c r="O659" s="13"/>
      <c r="P659" s="13"/>
    </row>
    <row r="660" spans="1:16" ht="12">
      <c r="A660" s="13"/>
      <c r="B660" s="13"/>
      <c r="C660" s="13"/>
      <c r="D660" s="13"/>
      <c r="E660" s="13"/>
      <c r="F660" s="13"/>
      <c r="G660" s="13"/>
      <c r="H660" s="13"/>
      <c r="I660" s="13"/>
      <c r="J660" s="13"/>
      <c r="K660" s="13"/>
      <c r="L660" s="13"/>
      <c r="M660" s="13"/>
      <c r="N660" s="13"/>
      <c r="O660" s="13"/>
      <c r="P660" s="13"/>
    </row>
    <row r="661" spans="1:16" ht="12">
      <c r="A661" s="13"/>
      <c r="B661" s="13"/>
      <c r="C661" s="13"/>
      <c r="D661" s="13"/>
      <c r="E661" s="13"/>
      <c r="F661" s="13"/>
      <c r="G661" s="13"/>
      <c r="H661" s="13"/>
      <c r="I661" s="13"/>
      <c r="J661" s="13"/>
      <c r="K661" s="13"/>
      <c r="L661" s="13"/>
      <c r="M661" s="13"/>
      <c r="N661" s="13"/>
      <c r="O661" s="13"/>
      <c r="P661" s="13"/>
    </row>
    <row r="662" spans="1:16" ht="12">
      <c r="A662" s="13"/>
      <c r="B662" s="13"/>
      <c r="C662" s="13"/>
      <c r="D662" s="13"/>
      <c r="E662" s="13"/>
      <c r="F662" s="13"/>
      <c r="G662" s="13"/>
      <c r="H662" s="13"/>
      <c r="I662" s="13"/>
      <c r="J662" s="13"/>
      <c r="K662" s="13"/>
      <c r="L662" s="13"/>
      <c r="M662" s="13"/>
      <c r="N662" s="13"/>
      <c r="O662" s="13"/>
      <c r="P662" s="13"/>
    </row>
    <row r="663" spans="1:16" ht="12">
      <c r="A663" s="13"/>
      <c r="B663" s="13"/>
      <c r="C663" s="13"/>
      <c r="D663" s="13"/>
      <c r="E663" s="13"/>
      <c r="F663" s="13"/>
      <c r="G663" s="13"/>
      <c r="H663" s="13"/>
      <c r="I663" s="13"/>
      <c r="J663" s="13"/>
      <c r="K663" s="13"/>
      <c r="L663" s="13"/>
      <c r="M663" s="13"/>
      <c r="N663" s="13"/>
      <c r="O663" s="13"/>
      <c r="P663" s="13"/>
    </row>
    <row r="664" spans="1:16" ht="12">
      <c r="A664" s="13"/>
      <c r="B664" s="13"/>
      <c r="C664" s="13"/>
      <c r="D664" s="13"/>
      <c r="E664" s="13"/>
      <c r="F664" s="13"/>
      <c r="G664" s="13"/>
      <c r="H664" s="13"/>
      <c r="I664" s="13"/>
      <c r="J664" s="13"/>
      <c r="K664" s="13"/>
      <c r="L664" s="13"/>
      <c r="M664" s="13"/>
      <c r="N664" s="13"/>
      <c r="O664" s="13"/>
      <c r="P664" s="13"/>
    </row>
    <row r="665" spans="1:16" ht="12">
      <c r="A665" s="13"/>
      <c r="B665" s="13"/>
      <c r="C665" s="13"/>
      <c r="D665" s="13"/>
      <c r="E665" s="13"/>
      <c r="F665" s="13"/>
      <c r="G665" s="13"/>
      <c r="H665" s="13"/>
      <c r="I665" s="13"/>
      <c r="J665" s="13"/>
      <c r="K665" s="13"/>
      <c r="L665" s="13"/>
      <c r="M665" s="13"/>
      <c r="N665" s="13"/>
      <c r="O665" s="13"/>
      <c r="P665" s="13"/>
    </row>
    <row r="666" spans="1:16" ht="12">
      <c r="A666" s="13"/>
      <c r="B666" s="13"/>
      <c r="C666" s="13"/>
      <c r="D666" s="13"/>
      <c r="E666" s="13"/>
      <c r="F666" s="13"/>
      <c r="G666" s="13"/>
      <c r="H666" s="13"/>
      <c r="I666" s="13"/>
      <c r="J666" s="13"/>
      <c r="K666" s="13"/>
      <c r="L666" s="13"/>
      <c r="M666" s="13"/>
      <c r="N666" s="13"/>
      <c r="O666" s="13"/>
      <c r="P666" s="13"/>
    </row>
    <row r="667" spans="1:16" ht="12">
      <c r="A667" s="13"/>
      <c r="B667" s="13"/>
      <c r="C667" s="13"/>
      <c r="D667" s="13"/>
      <c r="E667" s="13"/>
      <c r="F667" s="13"/>
      <c r="G667" s="13"/>
      <c r="H667" s="13"/>
      <c r="I667" s="13"/>
      <c r="J667" s="13"/>
      <c r="K667" s="13"/>
      <c r="L667" s="13"/>
      <c r="M667" s="13"/>
      <c r="N667" s="13"/>
      <c r="O667" s="13"/>
      <c r="P667" s="13"/>
    </row>
    <row r="668" spans="1:16" ht="12">
      <c r="A668" s="13"/>
      <c r="B668" s="13"/>
      <c r="C668" s="13"/>
      <c r="D668" s="13"/>
      <c r="E668" s="13"/>
      <c r="F668" s="13"/>
      <c r="G668" s="13"/>
      <c r="H668" s="13"/>
      <c r="I668" s="13"/>
      <c r="J668" s="13"/>
      <c r="K668" s="13"/>
      <c r="L668" s="13"/>
      <c r="M668" s="13"/>
      <c r="N668" s="13"/>
      <c r="O668" s="13"/>
      <c r="P668" s="13"/>
    </row>
    <row r="669" spans="1:16" ht="12">
      <c r="A669" s="13"/>
      <c r="B669" s="13"/>
      <c r="C669" s="13"/>
      <c r="D669" s="13"/>
      <c r="E669" s="13"/>
      <c r="F669" s="13"/>
      <c r="G669" s="13"/>
      <c r="H669" s="13"/>
      <c r="I669" s="13"/>
      <c r="J669" s="13"/>
      <c r="K669" s="13"/>
      <c r="L669" s="13"/>
      <c r="M669" s="13"/>
      <c r="N669" s="13"/>
      <c r="O669" s="13"/>
      <c r="P669" s="13"/>
    </row>
    <row r="670" spans="1:16" ht="12">
      <c r="A670" s="13"/>
      <c r="B670" s="13"/>
      <c r="C670" s="13"/>
      <c r="D670" s="13"/>
      <c r="E670" s="13"/>
      <c r="F670" s="13"/>
      <c r="G670" s="13"/>
      <c r="H670" s="13"/>
      <c r="I670" s="13"/>
      <c r="J670" s="13"/>
      <c r="K670" s="13"/>
      <c r="L670" s="13"/>
      <c r="M670" s="13"/>
      <c r="N670" s="13"/>
      <c r="O670" s="13"/>
      <c r="P670" s="13"/>
    </row>
    <row r="671" spans="1:16" ht="12">
      <c r="A671" s="13"/>
      <c r="B671" s="13"/>
      <c r="C671" s="13"/>
      <c r="D671" s="13"/>
      <c r="E671" s="13"/>
      <c r="F671" s="13"/>
      <c r="G671" s="13"/>
      <c r="H671" s="13"/>
      <c r="I671" s="13"/>
      <c r="J671" s="13"/>
      <c r="K671" s="13"/>
      <c r="L671" s="13"/>
      <c r="M671" s="13"/>
      <c r="N671" s="13"/>
      <c r="O671" s="13"/>
      <c r="P671" s="13"/>
    </row>
    <row r="672" spans="1:16" ht="12">
      <c r="A672" s="13"/>
      <c r="B672" s="13"/>
      <c r="C672" s="13"/>
      <c r="D672" s="13"/>
      <c r="E672" s="13"/>
      <c r="F672" s="13"/>
      <c r="G672" s="13"/>
      <c r="H672" s="13"/>
      <c r="I672" s="13"/>
      <c r="J672" s="13"/>
      <c r="K672" s="13"/>
      <c r="L672" s="13"/>
      <c r="M672" s="13"/>
      <c r="N672" s="13"/>
      <c r="O672" s="13"/>
      <c r="P672" s="13"/>
    </row>
    <row r="673" spans="1:16" ht="12">
      <c r="A673" s="13"/>
      <c r="B673" s="13"/>
      <c r="C673" s="13"/>
      <c r="D673" s="13"/>
      <c r="E673" s="13"/>
      <c r="F673" s="13"/>
      <c r="G673" s="13"/>
      <c r="H673" s="13"/>
      <c r="I673" s="13"/>
      <c r="J673" s="13"/>
      <c r="K673" s="13"/>
      <c r="L673" s="13"/>
      <c r="M673" s="13"/>
      <c r="N673" s="13"/>
      <c r="O673" s="13"/>
      <c r="P673" s="13"/>
    </row>
    <row r="674" spans="1:16" ht="12">
      <c r="A674" s="13"/>
      <c r="B674" s="13"/>
      <c r="C674" s="13"/>
      <c r="D674" s="13"/>
      <c r="E674" s="13"/>
      <c r="F674" s="13"/>
      <c r="G674" s="13"/>
      <c r="H674" s="13"/>
      <c r="I674" s="13"/>
      <c r="J674" s="13"/>
      <c r="K674" s="13"/>
      <c r="L674" s="13"/>
      <c r="M674" s="13"/>
      <c r="N674" s="13"/>
      <c r="O674" s="13"/>
      <c r="P674" s="13"/>
    </row>
    <row r="675" spans="1:16" ht="12">
      <c r="A675" s="13"/>
      <c r="B675" s="13"/>
      <c r="C675" s="13"/>
      <c r="D675" s="13"/>
      <c r="E675" s="13"/>
      <c r="F675" s="13"/>
      <c r="G675" s="13"/>
      <c r="H675" s="13"/>
      <c r="I675" s="13"/>
      <c r="J675" s="13"/>
      <c r="K675" s="13"/>
      <c r="L675" s="13"/>
      <c r="M675" s="13"/>
      <c r="N675" s="13"/>
      <c r="O675" s="13"/>
      <c r="P675" s="13"/>
    </row>
    <row r="676" spans="1:16" ht="12">
      <c r="A676" s="13"/>
      <c r="B676" s="13"/>
      <c r="C676" s="13"/>
      <c r="D676" s="13"/>
      <c r="E676" s="13"/>
      <c r="F676" s="13"/>
      <c r="G676" s="13"/>
      <c r="H676" s="13"/>
      <c r="I676" s="13"/>
      <c r="J676" s="13"/>
      <c r="K676" s="13"/>
      <c r="L676" s="13"/>
      <c r="M676" s="13"/>
      <c r="N676" s="13"/>
      <c r="O676" s="13"/>
      <c r="P676" s="13"/>
    </row>
    <row r="677" spans="1:16" ht="12">
      <c r="A677" s="13"/>
      <c r="B677" s="13"/>
      <c r="C677" s="13"/>
      <c r="D677" s="13"/>
      <c r="E677" s="13"/>
      <c r="F677" s="13"/>
      <c r="G677" s="13"/>
      <c r="H677" s="13"/>
      <c r="I677" s="13"/>
      <c r="J677" s="13"/>
      <c r="K677" s="13"/>
      <c r="L677" s="13"/>
      <c r="M677" s="13"/>
      <c r="N677" s="13"/>
      <c r="O677" s="13"/>
      <c r="P677" s="13"/>
    </row>
    <row r="678" spans="1:16" ht="12">
      <c r="A678" s="13"/>
      <c r="B678" s="13"/>
      <c r="C678" s="13"/>
      <c r="D678" s="13"/>
      <c r="E678" s="13"/>
      <c r="F678" s="13"/>
      <c r="G678" s="13"/>
      <c r="H678" s="13"/>
      <c r="I678" s="13"/>
      <c r="J678" s="13"/>
      <c r="K678" s="13"/>
      <c r="L678" s="13"/>
      <c r="M678" s="13"/>
      <c r="N678" s="13"/>
      <c r="O678" s="13"/>
      <c r="P678" s="13"/>
    </row>
    <row r="679" spans="1:16" ht="12">
      <c r="A679" s="13"/>
      <c r="B679" s="13"/>
      <c r="C679" s="13"/>
      <c r="D679" s="13"/>
      <c r="E679" s="13"/>
      <c r="F679" s="13"/>
      <c r="G679" s="13"/>
      <c r="H679" s="13"/>
      <c r="I679" s="13"/>
      <c r="J679" s="13"/>
      <c r="K679" s="13"/>
      <c r="L679" s="13"/>
      <c r="M679" s="13"/>
      <c r="N679" s="13"/>
      <c r="O679" s="13"/>
      <c r="P679" s="13"/>
    </row>
    <row r="680" spans="1:16" ht="12">
      <c r="A680" s="13"/>
      <c r="B680" s="13"/>
      <c r="C680" s="13"/>
      <c r="D680" s="13"/>
      <c r="E680" s="13"/>
      <c r="F680" s="13"/>
      <c r="G680" s="13"/>
      <c r="H680" s="13"/>
      <c r="I680" s="13"/>
      <c r="J680" s="13"/>
      <c r="K680" s="13"/>
      <c r="L680" s="13"/>
      <c r="M680" s="13"/>
      <c r="N680" s="13"/>
      <c r="O680" s="13"/>
      <c r="P680" s="13"/>
    </row>
    <row r="681" spans="1:16" ht="12">
      <c r="A681" s="13"/>
      <c r="B681" s="13"/>
      <c r="C681" s="13"/>
      <c r="D681" s="13"/>
      <c r="E681" s="13"/>
      <c r="F681" s="13"/>
      <c r="G681" s="13"/>
      <c r="H681" s="13"/>
      <c r="I681" s="13"/>
      <c r="J681" s="13"/>
      <c r="K681" s="13"/>
      <c r="L681" s="13"/>
      <c r="M681" s="13"/>
      <c r="N681" s="13"/>
      <c r="O681" s="13"/>
      <c r="P681" s="13"/>
    </row>
    <row r="682" spans="1:16" ht="12">
      <c r="A682" s="13"/>
      <c r="B682" s="13"/>
      <c r="C682" s="13"/>
      <c r="D682" s="13"/>
      <c r="E682" s="13"/>
      <c r="F682" s="13"/>
      <c r="G682" s="13"/>
      <c r="H682" s="13"/>
      <c r="I682" s="13"/>
      <c r="J682" s="13"/>
      <c r="K682" s="13"/>
      <c r="L682" s="13"/>
      <c r="M682" s="13"/>
      <c r="N682" s="13"/>
      <c r="O682" s="13"/>
      <c r="P682" s="13"/>
    </row>
    <row r="683" spans="1:16" ht="12">
      <c r="A683" s="13"/>
      <c r="B683" s="13"/>
      <c r="C683" s="13"/>
      <c r="D683" s="13"/>
      <c r="E683" s="13"/>
      <c r="F683" s="13"/>
      <c r="G683" s="13"/>
      <c r="H683" s="13"/>
      <c r="I683" s="13"/>
      <c r="J683" s="13"/>
      <c r="K683" s="13"/>
      <c r="L683" s="13"/>
      <c r="M683" s="13"/>
      <c r="N683" s="13"/>
      <c r="O683" s="13"/>
      <c r="P683" s="13"/>
    </row>
    <row r="684" spans="1:16" ht="12">
      <c r="A684" s="13"/>
      <c r="B684" s="13"/>
      <c r="C684" s="13"/>
      <c r="D684" s="13"/>
      <c r="E684" s="13"/>
      <c r="F684" s="13"/>
      <c r="G684" s="13"/>
      <c r="H684" s="13"/>
      <c r="I684" s="13"/>
      <c r="J684" s="13"/>
      <c r="K684" s="13"/>
      <c r="L684" s="13"/>
      <c r="M684" s="13"/>
      <c r="N684" s="13"/>
      <c r="O684" s="13"/>
      <c r="P684" s="13"/>
    </row>
    <row r="685" spans="1:16" ht="12">
      <c r="A685" s="13"/>
      <c r="B685" s="13"/>
      <c r="C685" s="13"/>
      <c r="D685" s="13"/>
      <c r="E685" s="13"/>
      <c r="F685" s="13"/>
      <c r="G685" s="13"/>
      <c r="H685" s="13"/>
      <c r="I685" s="13"/>
      <c r="J685" s="13"/>
      <c r="K685" s="13"/>
      <c r="L685" s="13"/>
      <c r="M685" s="13"/>
      <c r="N685" s="13"/>
      <c r="O685" s="13"/>
      <c r="P685" s="13"/>
    </row>
    <row r="686" spans="1:16" ht="12">
      <c r="A686" s="13"/>
      <c r="B686" s="13"/>
      <c r="C686" s="13"/>
      <c r="D686" s="13"/>
      <c r="E686" s="13"/>
      <c r="F686" s="13"/>
      <c r="G686" s="13"/>
      <c r="H686" s="13"/>
      <c r="I686" s="13"/>
      <c r="J686" s="13"/>
      <c r="K686" s="13"/>
      <c r="L686" s="13"/>
      <c r="M686" s="13"/>
      <c r="N686" s="13"/>
      <c r="O686" s="13"/>
      <c r="P686" s="13"/>
    </row>
    <row r="687" spans="1:16" ht="12">
      <c r="A687" s="13"/>
      <c r="B687" s="13"/>
      <c r="C687" s="13"/>
      <c r="D687" s="13"/>
      <c r="E687" s="13"/>
      <c r="F687" s="13"/>
      <c r="G687" s="13"/>
      <c r="H687" s="13"/>
      <c r="I687" s="13"/>
      <c r="J687" s="13"/>
      <c r="K687" s="13"/>
      <c r="L687" s="13"/>
      <c r="M687" s="13"/>
      <c r="N687" s="13"/>
      <c r="O687" s="13"/>
      <c r="P687" s="13"/>
    </row>
    <row r="688" spans="1:16" ht="12">
      <c r="A688" s="13"/>
      <c r="B688" s="13"/>
      <c r="C688" s="13"/>
      <c r="D688" s="13"/>
      <c r="E688" s="13"/>
      <c r="F688" s="13"/>
      <c r="G688" s="13"/>
      <c r="H688" s="13"/>
      <c r="I688" s="13"/>
      <c r="J688" s="13"/>
      <c r="K688" s="13"/>
      <c r="L688" s="13"/>
      <c r="M688" s="13"/>
      <c r="N688" s="13"/>
      <c r="O688" s="13"/>
      <c r="P688" s="13"/>
    </row>
    <row r="689" spans="1:16" ht="12">
      <c r="A689" s="13"/>
      <c r="B689" s="13"/>
      <c r="C689" s="13"/>
      <c r="D689" s="13"/>
      <c r="E689" s="13"/>
      <c r="F689" s="13"/>
      <c r="G689" s="13"/>
      <c r="H689" s="13"/>
      <c r="I689" s="13"/>
      <c r="J689" s="13"/>
      <c r="K689" s="13"/>
      <c r="L689" s="13"/>
      <c r="M689" s="13"/>
      <c r="N689" s="13"/>
      <c r="O689" s="13"/>
      <c r="P689" s="13"/>
    </row>
    <row r="690" spans="1:16" ht="12">
      <c r="A690" s="13"/>
      <c r="B690" s="13"/>
      <c r="C690" s="13"/>
      <c r="D690" s="13"/>
      <c r="E690" s="13"/>
      <c r="F690" s="13"/>
      <c r="G690" s="13"/>
      <c r="H690" s="13"/>
      <c r="I690" s="13"/>
      <c r="J690" s="13"/>
      <c r="K690" s="13"/>
      <c r="L690" s="13"/>
      <c r="M690" s="13"/>
      <c r="N690" s="13"/>
      <c r="O690" s="13"/>
      <c r="P690" s="13"/>
    </row>
    <row r="691" spans="1:16" ht="12">
      <c r="A691" s="13"/>
      <c r="B691" s="13"/>
      <c r="C691" s="13"/>
      <c r="D691" s="13"/>
      <c r="E691" s="13"/>
      <c r="F691" s="13"/>
      <c r="G691" s="13"/>
      <c r="H691" s="13"/>
      <c r="I691" s="13"/>
      <c r="J691" s="13"/>
      <c r="K691" s="13"/>
      <c r="L691" s="13"/>
      <c r="M691" s="13"/>
      <c r="N691" s="13"/>
      <c r="O691" s="13"/>
      <c r="P691" s="13"/>
    </row>
    <row r="692" spans="1:16" ht="12">
      <c r="A692" s="13"/>
      <c r="B692" s="13"/>
      <c r="C692" s="13"/>
      <c r="D692" s="13"/>
      <c r="E692" s="13"/>
      <c r="F692" s="13"/>
      <c r="G692" s="13"/>
      <c r="H692" s="13"/>
      <c r="I692" s="13"/>
      <c r="J692" s="13"/>
      <c r="K692" s="13"/>
      <c r="L692" s="13"/>
      <c r="M692" s="13"/>
      <c r="N692" s="13"/>
      <c r="O692" s="13"/>
      <c r="P692" s="13"/>
    </row>
    <row r="693" spans="1:16" ht="12">
      <c r="A693" s="13"/>
      <c r="B693" s="13"/>
      <c r="C693" s="13"/>
      <c r="D693" s="13"/>
      <c r="E693" s="13"/>
      <c r="F693" s="13"/>
      <c r="G693" s="13"/>
      <c r="H693" s="13"/>
      <c r="I693" s="13"/>
      <c r="J693" s="13"/>
      <c r="K693" s="13"/>
      <c r="L693" s="13"/>
      <c r="M693" s="13"/>
      <c r="N693" s="13"/>
      <c r="O693" s="13"/>
      <c r="P693" s="13"/>
    </row>
    <row r="694" spans="1:16" ht="12">
      <c r="A694" s="13"/>
      <c r="B694" s="13"/>
      <c r="C694" s="13"/>
      <c r="D694" s="13"/>
      <c r="E694" s="13"/>
      <c r="F694" s="13"/>
      <c r="G694" s="13"/>
      <c r="H694" s="13"/>
      <c r="I694" s="13"/>
      <c r="J694" s="13"/>
      <c r="K694" s="13"/>
      <c r="L694" s="13"/>
      <c r="M694" s="13"/>
      <c r="N694" s="13"/>
      <c r="O694" s="13"/>
      <c r="P694" s="13"/>
    </row>
    <row r="695" spans="1:16" ht="12">
      <c r="A695" s="13"/>
      <c r="B695" s="13"/>
      <c r="C695" s="13"/>
      <c r="D695" s="13"/>
      <c r="E695" s="13"/>
      <c r="F695" s="13"/>
      <c r="G695" s="13"/>
      <c r="H695" s="13"/>
      <c r="I695" s="13"/>
      <c r="J695" s="13"/>
      <c r="K695" s="13"/>
      <c r="L695" s="13"/>
      <c r="M695" s="13"/>
      <c r="N695" s="13"/>
      <c r="O695" s="13"/>
      <c r="P695" s="13"/>
    </row>
    <row r="696" spans="1:16" ht="12">
      <c r="A696" s="13"/>
      <c r="B696" s="13"/>
      <c r="C696" s="13"/>
      <c r="D696" s="13"/>
      <c r="E696" s="13"/>
      <c r="F696" s="13"/>
      <c r="G696" s="13"/>
      <c r="H696" s="13"/>
      <c r="I696" s="13"/>
      <c r="J696" s="13"/>
      <c r="K696" s="13"/>
      <c r="L696" s="13"/>
      <c r="M696" s="13"/>
      <c r="N696" s="13"/>
      <c r="O696" s="13"/>
      <c r="P696" s="13"/>
    </row>
    <row r="697" spans="1:16" ht="12">
      <c r="A697" s="13"/>
      <c r="B697" s="13"/>
      <c r="C697" s="13"/>
      <c r="D697" s="13"/>
      <c r="E697" s="13"/>
      <c r="F697" s="13"/>
      <c r="G697" s="13"/>
      <c r="H697" s="13"/>
      <c r="I697" s="13"/>
      <c r="J697" s="13"/>
      <c r="K697" s="13"/>
      <c r="L697" s="13"/>
      <c r="M697" s="13"/>
      <c r="N697" s="13"/>
      <c r="O697" s="13"/>
      <c r="P697" s="13"/>
    </row>
    <row r="698" spans="1:16" ht="12">
      <c r="A698" s="13"/>
      <c r="B698" s="13"/>
      <c r="C698" s="13"/>
      <c r="D698" s="13"/>
      <c r="E698" s="13"/>
      <c r="F698" s="13"/>
      <c r="G698" s="13"/>
      <c r="H698" s="13"/>
      <c r="I698" s="13"/>
      <c r="J698" s="13"/>
      <c r="K698" s="13"/>
      <c r="L698" s="13"/>
      <c r="M698" s="13"/>
      <c r="N698" s="13"/>
      <c r="O698" s="13"/>
      <c r="P698" s="13"/>
    </row>
    <row r="699" spans="1:16" ht="12">
      <c r="A699" s="13"/>
      <c r="B699" s="13"/>
      <c r="C699" s="13"/>
      <c r="D699" s="13"/>
      <c r="E699" s="13"/>
      <c r="F699" s="13"/>
      <c r="G699" s="13"/>
      <c r="H699" s="13"/>
      <c r="I699" s="13"/>
      <c r="J699" s="13"/>
      <c r="K699" s="13"/>
      <c r="L699" s="13"/>
      <c r="M699" s="13"/>
      <c r="N699" s="13"/>
      <c r="O699" s="13"/>
      <c r="P699" s="13"/>
    </row>
    <row r="700" spans="1:16" ht="12">
      <c r="A700" s="13"/>
      <c r="B700" s="13"/>
      <c r="C700" s="13"/>
      <c r="D700" s="13"/>
      <c r="E700" s="13"/>
      <c r="F700" s="13"/>
      <c r="G700" s="13"/>
      <c r="H700" s="13"/>
      <c r="I700" s="13"/>
      <c r="J700" s="13"/>
      <c r="K700" s="13"/>
      <c r="L700" s="13"/>
      <c r="M700" s="13"/>
      <c r="N700" s="13"/>
      <c r="O700" s="13"/>
      <c r="P700" s="13"/>
    </row>
    <row r="701" spans="1:16" ht="12">
      <c r="A701" s="13"/>
      <c r="B701" s="13"/>
      <c r="C701" s="13"/>
      <c r="D701" s="13"/>
      <c r="E701" s="13"/>
      <c r="F701" s="13"/>
      <c r="G701" s="13"/>
      <c r="H701" s="13"/>
      <c r="I701" s="13"/>
      <c r="J701" s="13"/>
      <c r="K701" s="13"/>
      <c r="L701" s="13"/>
      <c r="M701" s="13"/>
      <c r="N701" s="13"/>
      <c r="O701" s="13"/>
      <c r="P701" s="13"/>
    </row>
    <row r="702" spans="1:16" ht="12">
      <c r="A702" s="13"/>
      <c r="B702" s="13"/>
      <c r="C702" s="13"/>
      <c r="D702" s="13"/>
      <c r="E702" s="13"/>
      <c r="F702" s="13"/>
      <c r="G702" s="13"/>
      <c r="H702" s="13"/>
      <c r="I702" s="13"/>
      <c r="J702" s="13"/>
      <c r="K702" s="13"/>
      <c r="L702" s="13"/>
      <c r="M702" s="13"/>
      <c r="N702" s="13"/>
      <c r="O702" s="13"/>
      <c r="P702" s="13"/>
    </row>
    <row r="703" spans="1:16" ht="12">
      <c r="A703" s="13"/>
      <c r="B703" s="13"/>
      <c r="C703" s="13"/>
      <c r="D703" s="13"/>
      <c r="E703" s="13"/>
      <c r="F703" s="13"/>
      <c r="G703" s="13"/>
      <c r="H703" s="13"/>
      <c r="I703" s="13"/>
      <c r="J703" s="13"/>
      <c r="K703" s="13"/>
      <c r="L703" s="13"/>
      <c r="M703" s="13"/>
      <c r="N703" s="13"/>
      <c r="O703" s="13"/>
      <c r="P703" s="13"/>
    </row>
    <row r="704" spans="1:16" ht="12">
      <c r="A704" s="13"/>
      <c r="B704" s="13"/>
      <c r="C704" s="13"/>
      <c r="D704" s="13"/>
      <c r="E704" s="13"/>
      <c r="F704" s="13"/>
      <c r="G704" s="13"/>
      <c r="H704" s="13"/>
      <c r="I704" s="13"/>
      <c r="J704" s="13"/>
      <c r="K704" s="13"/>
      <c r="L704" s="13"/>
      <c r="M704" s="13"/>
      <c r="N704" s="13"/>
      <c r="O704" s="13"/>
      <c r="P704" s="13"/>
    </row>
    <row r="705" spans="1:16" ht="12">
      <c r="A705" s="13"/>
      <c r="B705" s="13"/>
      <c r="C705" s="13"/>
      <c r="D705" s="13"/>
      <c r="E705" s="13"/>
      <c r="F705" s="13"/>
      <c r="G705" s="13"/>
      <c r="H705" s="13"/>
      <c r="I705" s="13"/>
      <c r="J705" s="13"/>
      <c r="K705" s="13"/>
      <c r="L705" s="13"/>
      <c r="M705" s="13"/>
      <c r="N705" s="13"/>
      <c r="O705" s="13"/>
      <c r="P705" s="13"/>
    </row>
    <row r="706" spans="1:16" ht="12">
      <c r="A706" s="13"/>
      <c r="B706" s="13"/>
      <c r="C706" s="13"/>
      <c r="D706" s="13"/>
      <c r="E706" s="13"/>
      <c r="F706" s="13"/>
      <c r="G706" s="13"/>
      <c r="H706" s="13"/>
      <c r="I706" s="13"/>
      <c r="J706" s="13"/>
      <c r="K706" s="13"/>
      <c r="L706" s="13"/>
      <c r="M706" s="13"/>
      <c r="N706" s="13"/>
      <c r="O706" s="13"/>
      <c r="P706" s="13"/>
    </row>
    <row r="707" spans="1:16" ht="12">
      <c r="A707" s="13"/>
      <c r="B707" s="13"/>
      <c r="C707" s="13"/>
      <c r="D707" s="13"/>
      <c r="E707" s="13"/>
      <c r="F707" s="13"/>
      <c r="G707" s="13"/>
      <c r="H707" s="13"/>
      <c r="I707" s="13"/>
      <c r="J707" s="13"/>
      <c r="K707" s="13"/>
      <c r="L707" s="13"/>
      <c r="M707" s="13"/>
      <c r="N707" s="13"/>
      <c r="O707" s="13"/>
      <c r="P707" s="13"/>
    </row>
    <row r="708" spans="1:16" ht="12">
      <c r="A708" s="13"/>
      <c r="B708" s="13"/>
      <c r="C708" s="13"/>
      <c r="D708" s="13"/>
      <c r="E708" s="13"/>
      <c r="F708" s="13"/>
      <c r="G708" s="13"/>
      <c r="H708" s="13"/>
      <c r="I708" s="13"/>
      <c r="J708" s="13"/>
      <c r="K708" s="13"/>
      <c r="L708" s="13"/>
      <c r="M708" s="13"/>
      <c r="N708" s="13"/>
      <c r="O708" s="13"/>
      <c r="P708" s="13"/>
    </row>
    <row r="709" spans="1:16" ht="12">
      <c r="A709" s="13"/>
      <c r="B709" s="13"/>
      <c r="C709" s="13"/>
      <c r="D709" s="13"/>
      <c r="E709" s="13"/>
      <c r="F709" s="13"/>
      <c r="G709" s="13"/>
      <c r="H709" s="13"/>
      <c r="I709" s="13"/>
      <c r="J709" s="13"/>
      <c r="K709" s="13"/>
      <c r="L709" s="13"/>
      <c r="M709" s="13"/>
      <c r="N709" s="13"/>
      <c r="O709" s="13"/>
      <c r="P709" s="13"/>
    </row>
    <row r="710" spans="1:16" ht="12">
      <c r="A710" s="13"/>
      <c r="B710" s="13"/>
      <c r="C710" s="13"/>
      <c r="D710" s="13"/>
      <c r="E710" s="13"/>
      <c r="F710" s="13"/>
      <c r="G710" s="13"/>
      <c r="H710" s="13"/>
      <c r="I710" s="13"/>
      <c r="J710" s="13"/>
      <c r="K710" s="13"/>
      <c r="L710" s="13"/>
      <c r="M710" s="13"/>
      <c r="N710" s="13"/>
      <c r="O710" s="13"/>
      <c r="P710" s="13"/>
    </row>
    <row r="711" spans="1:16" ht="12">
      <c r="A711" s="13"/>
      <c r="B711" s="13"/>
      <c r="C711" s="13"/>
      <c r="D711" s="13"/>
      <c r="E711" s="13"/>
      <c r="F711" s="13"/>
      <c r="G711" s="13"/>
      <c r="H711" s="13"/>
      <c r="I711" s="13"/>
      <c r="J711" s="13"/>
      <c r="K711" s="13"/>
      <c r="L711" s="13"/>
      <c r="M711" s="13"/>
      <c r="N711" s="13"/>
      <c r="O711" s="13"/>
      <c r="P711" s="13"/>
    </row>
    <row r="712" spans="1:16" ht="12">
      <c r="A712" s="13"/>
      <c r="B712" s="13"/>
      <c r="C712" s="13"/>
      <c r="D712" s="13"/>
      <c r="E712" s="13"/>
      <c r="F712" s="13"/>
      <c r="G712" s="13"/>
      <c r="H712" s="13"/>
      <c r="I712" s="13"/>
      <c r="J712" s="13"/>
      <c r="K712" s="13"/>
      <c r="L712" s="13"/>
      <c r="M712" s="13"/>
      <c r="N712" s="13"/>
      <c r="O712" s="13"/>
      <c r="P712" s="13"/>
    </row>
    <row r="713" spans="1:16" ht="12">
      <c r="A713" s="13"/>
      <c r="B713" s="13"/>
      <c r="C713" s="13"/>
      <c r="D713" s="13"/>
      <c r="E713" s="13"/>
      <c r="F713" s="13"/>
      <c r="G713" s="13"/>
      <c r="H713" s="13"/>
      <c r="I713" s="13"/>
      <c r="J713" s="13"/>
      <c r="K713" s="13"/>
      <c r="L713" s="13"/>
      <c r="M713" s="13"/>
      <c r="N713" s="13"/>
      <c r="O713" s="13"/>
      <c r="P713" s="13"/>
    </row>
    <row r="714" spans="1:16" ht="12">
      <c r="A714" s="13"/>
      <c r="B714" s="13"/>
      <c r="C714" s="13"/>
      <c r="D714" s="13"/>
      <c r="E714" s="13"/>
      <c r="F714" s="13"/>
      <c r="G714" s="13"/>
      <c r="H714" s="13"/>
      <c r="I714" s="13"/>
      <c r="J714" s="13"/>
      <c r="K714" s="13"/>
      <c r="L714" s="13"/>
      <c r="M714" s="13"/>
      <c r="N714" s="13"/>
      <c r="O714" s="13"/>
      <c r="P714" s="13"/>
    </row>
    <row r="715" spans="1:16" ht="12">
      <c r="A715" s="13"/>
      <c r="B715" s="13"/>
      <c r="C715" s="13"/>
      <c r="D715" s="13"/>
      <c r="E715" s="13"/>
      <c r="F715" s="13"/>
      <c r="G715" s="13"/>
      <c r="H715" s="13"/>
      <c r="I715" s="13"/>
      <c r="J715" s="13"/>
      <c r="K715" s="13"/>
      <c r="L715" s="13"/>
      <c r="M715" s="13"/>
      <c r="N715" s="13"/>
      <c r="O715" s="13"/>
      <c r="P715" s="13"/>
    </row>
    <row r="716" spans="1:16" ht="12">
      <c r="A716" s="13"/>
      <c r="B716" s="13"/>
      <c r="C716" s="13"/>
      <c r="D716" s="13"/>
      <c r="E716" s="13"/>
      <c r="F716" s="13"/>
      <c r="G716" s="13"/>
      <c r="H716" s="13"/>
      <c r="I716" s="13"/>
      <c r="J716" s="13"/>
      <c r="K716" s="13"/>
      <c r="L716" s="13"/>
      <c r="M716" s="13"/>
      <c r="N716" s="13"/>
      <c r="O716" s="13"/>
      <c r="P716" s="13"/>
    </row>
    <row r="717" spans="1:16" ht="12">
      <c r="A717" s="13"/>
      <c r="B717" s="13"/>
      <c r="C717" s="13"/>
      <c r="D717" s="13"/>
      <c r="E717" s="13"/>
      <c r="F717" s="13"/>
      <c r="G717" s="13"/>
      <c r="H717" s="13"/>
      <c r="I717" s="13"/>
      <c r="J717" s="13"/>
      <c r="K717" s="13"/>
      <c r="L717" s="13"/>
      <c r="M717" s="13"/>
      <c r="N717" s="13"/>
      <c r="O717" s="13"/>
      <c r="P717" s="13"/>
    </row>
    <row r="718" spans="1:16" ht="12">
      <c r="A718" s="13"/>
      <c r="B718" s="13"/>
      <c r="C718" s="13"/>
      <c r="D718" s="13"/>
      <c r="E718" s="13"/>
      <c r="F718" s="13"/>
      <c r="G718" s="13"/>
      <c r="H718" s="13"/>
      <c r="I718" s="13"/>
      <c r="J718" s="13"/>
      <c r="K718" s="13"/>
      <c r="L718" s="13"/>
      <c r="M718" s="13"/>
      <c r="N718" s="13"/>
      <c r="O718" s="13"/>
      <c r="P718" s="13"/>
    </row>
    <row r="719" spans="1:16" ht="12">
      <c r="A719" s="13"/>
      <c r="B719" s="13"/>
      <c r="C719" s="13"/>
      <c r="D719" s="13"/>
      <c r="E719" s="13"/>
      <c r="F719" s="13"/>
      <c r="G719" s="13"/>
      <c r="H719" s="13"/>
      <c r="I719" s="13"/>
      <c r="J719" s="13"/>
      <c r="K719" s="13"/>
      <c r="L719" s="13"/>
      <c r="M719" s="13"/>
      <c r="N719" s="13"/>
      <c r="O719" s="13"/>
      <c r="P719" s="13"/>
    </row>
    <row r="720" spans="1:16" ht="12">
      <c r="A720" s="13"/>
      <c r="B720" s="13"/>
      <c r="C720" s="13"/>
      <c r="D720" s="13"/>
      <c r="E720" s="13"/>
      <c r="F720" s="13"/>
      <c r="G720" s="13"/>
      <c r="H720" s="13"/>
      <c r="I720" s="13"/>
      <c r="J720" s="13"/>
      <c r="K720" s="13"/>
      <c r="L720" s="13"/>
      <c r="M720" s="13"/>
      <c r="N720" s="13"/>
      <c r="O720" s="13"/>
      <c r="P720" s="13"/>
    </row>
    <row r="721" spans="1:16" ht="12">
      <c r="A721" s="13"/>
      <c r="B721" s="13"/>
      <c r="C721" s="13"/>
      <c r="D721" s="13"/>
      <c r="E721" s="13"/>
      <c r="F721" s="13"/>
      <c r="G721" s="13"/>
      <c r="H721" s="13"/>
      <c r="I721" s="13"/>
      <c r="J721" s="13"/>
      <c r="K721" s="13"/>
      <c r="L721" s="13"/>
      <c r="M721" s="13"/>
      <c r="N721" s="13"/>
      <c r="O721" s="13"/>
      <c r="P721" s="13"/>
    </row>
    <row r="722" spans="1:16" ht="12">
      <c r="A722" s="13"/>
      <c r="B722" s="13"/>
      <c r="C722" s="13"/>
      <c r="D722" s="13"/>
      <c r="E722" s="13"/>
      <c r="F722" s="13"/>
      <c r="G722" s="13"/>
      <c r="H722" s="13"/>
      <c r="I722" s="13"/>
      <c r="J722" s="13"/>
      <c r="K722" s="13"/>
      <c r="L722" s="13"/>
      <c r="M722" s="13"/>
      <c r="N722" s="13"/>
      <c r="O722" s="13"/>
      <c r="P722" s="13"/>
    </row>
    <row r="723" spans="1:16" ht="12">
      <c r="A723" s="13"/>
      <c r="B723" s="13"/>
      <c r="C723" s="13"/>
      <c r="D723" s="13"/>
      <c r="E723" s="13"/>
      <c r="F723" s="13"/>
      <c r="G723" s="13"/>
      <c r="H723" s="13"/>
      <c r="I723" s="13"/>
      <c r="J723" s="13"/>
      <c r="K723" s="13"/>
      <c r="L723" s="13"/>
      <c r="M723" s="13"/>
      <c r="N723" s="13"/>
      <c r="O723" s="13"/>
      <c r="P723" s="13"/>
    </row>
    <row r="724" spans="1:16" ht="12">
      <c r="A724" s="13"/>
      <c r="B724" s="13"/>
      <c r="C724" s="13"/>
      <c r="D724" s="13"/>
      <c r="E724" s="13"/>
      <c r="F724" s="13"/>
      <c r="G724" s="13"/>
      <c r="H724" s="13"/>
      <c r="I724" s="13"/>
      <c r="J724" s="13"/>
      <c r="K724" s="13"/>
      <c r="L724" s="13"/>
      <c r="M724" s="13"/>
      <c r="N724" s="13"/>
      <c r="O724" s="13"/>
      <c r="P724" s="13"/>
    </row>
    <row r="725" spans="1:16" ht="12">
      <c r="A725" s="13"/>
      <c r="B725" s="13"/>
      <c r="C725" s="13"/>
      <c r="D725" s="13"/>
      <c r="E725" s="13"/>
      <c r="F725" s="13"/>
      <c r="G725" s="13"/>
      <c r="H725" s="13"/>
      <c r="I725" s="13"/>
      <c r="J725" s="13"/>
      <c r="K725" s="13"/>
      <c r="L725" s="13"/>
      <c r="M725" s="13"/>
      <c r="N725" s="13"/>
      <c r="O725" s="13"/>
      <c r="P725" s="13"/>
    </row>
    <row r="726" spans="1:16" ht="12">
      <c r="A726" s="13"/>
      <c r="B726" s="13"/>
      <c r="C726" s="13"/>
      <c r="D726" s="13"/>
      <c r="E726" s="13"/>
      <c r="F726" s="13"/>
      <c r="G726" s="13"/>
      <c r="H726" s="13"/>
      <c r="I726" s="13"/>
      <c r="J726" s="13"/>
      <c r="K726" s="13"/>
      <c r="L726" s="13"/>
      <c r="M726" s="13"/>
      <c r="N726" s="13"/>
      <c r="O726" s="13"/>
      <c r="P726" s="13"/>
    </row>
    <row r="727" spans="1:16" ht="12">
      <c r="A727" s="13"/>
      <c r="B727" s="13"/>
      <c r="C727" s="13"/>
      <c r="D727" s="13"/>
      <c r="E727" s="13"/>
      <c r="F727" s="13"/>
      <c r="G727" s="13"/>
      <c r="H727" s="13"/>
      <c r="I727" s="13"/>
      <c r="J727" s="13"/>
      <c r="K727" s="13"/>
      <c r="L727" s="13"/>
      <c r="M727" s="13"/>
      <c r="N727" s="13"/>
      <c r="O727" s="13"/>
      <c r="P727" s="13"/>
    </row>
    <row r="728" spans="1:16" ht="12">
      <c r="A728" s="13"/>
      <c r="B728" s="13"/>
      <c r="C728" s="13"/>
      <c r="D728" s="13"/>
      <c r="E728" s="13"/>
      <c r="F728" s="13"/>
      <c r="G728" s="13"/>
      <c r="H728" s="13"/>
      <c r="I728" s="13"/>
      <c r="J728" s="13"/>
      <c r="K728" s="13"/>
      <c r="L728" s="13"/>
      <c r="M728" s="13"/>
      <c r="N728" s="13"/>
      <c r="O728" s="13"/>
      <c r="P728" s="13"/>
    </row>
    <row r="729" spans="1:16" ht="12">
      <c r="A729" s="13"/>
      <c r="B729" s="13"/>
      <c r="C729" s="13"/>
      <c r="D729" s="13"/>
      <c r="E729" s="13"/>
      <c r="F729" s="13"/>
      <c r="G729" s="13"/>
      <c r="H729" s="13"/>
      <c r="I729" s="13"/>
      <c r="J729" s="13"/>
      <c r="K729" s="13"/>
      <c r="L729" s="13"/>
      <c r="M729" s="13"/>
      <c r="N729" s="13"/>
      <c r="O729" s="13"/>
      <c r="P729" s="13"/>
    </row>
    <row r="730" spans="1:16" ht="12">
      <c r="A730" s="13"/>
      <c r="B730" s="13"/>
      <c r="C730" s="13"/>
      <c r="D730" s="13"/>
      <c r="E730" s="13"/>
      <c r="F730" s="13"/>
      <c r="G730" s="13"/>
      <c r="H730" s="13"/>
      <c r="I730" s="13"/>
      <c r="J730" s="13"/>
      <c r="K730" s="13"/>
      <c r="L730" s="13"/>
      <c r="M730" s="13"/>
      <c r="N730" s="13"/>
      <c r="O730" s="13"/>
      <c r="P730" s="13"/>
    </row>
    <row r="731" spans="1:16" ht="12">
      <c r="A731" s="13"/>
      <c r="B731" s="13"/>
      <c r="C731" s="13"/>
      <c r="D731" s="13"/>
      <c r="E731" s="13"/>
      <c r="F731" s="13"/>
      <c r="G731" s="13"/>
      <c r="H731" s="13"/>
      <c r="I731" s="13"/>
      <c r="J731" s="13"/>
      <c r="K731" s="13"/>
      <c r="L731" s="13"/>
      <c r="M731" s="13"/>
      <c r="N731" s="13"/>
      <c r="O731" s="13"/>
      <c r="P731" s="13"/>
    </row>
    <row r="732" spans="1:16" ht="12">
      <c r="A732" s="13"/>
      <c r="B732" s="13"/>
      <c r="C732" s="13"/>
      <c r="D732" s="13"/>
      <c r="E732" s="13"/>
      <c r="F732" s="13"/>
      <c r="G732" s="13"/>
      <c r="H732" s="13"/>
      <c r="I732" s="13"/>
      <c r="J732" s="13"/>
      <c r="K732" s="13"/>
      <c r="L732" s="13"/>
      <c r="M732" s="13"/>
      <c r="N732" s="13"/>
      <c r="O732" s="13"/>
      <c r="P732" s="13"/>
    </row>
    <row r="733" spans="1:16" ht="12">
      <c r="A733" s="13"/>
      <c r="B733" s="13"/>
      <c r="C733" s="13"/>
      <c r="D733" s="13"/>
      <c r="E733" s="13"/>
      <c r="F733" s="13"/>
      <c r="G733" s="13"/>
      <c r="H733" s="13"/>
      <c r="I733" s="13"/>
      <c r="J733" s="13"/>
      <c r="K733" s="13"/>
      <c r="L733" s="13"/>
      <c r="M733" s="13"/>
      <c r="N733" s="13"/>
      <c r="O733" s="13"/>
      <c r="P733" s="13"/>
    </row>
    <row r="734" spans="1:16" ht="12">
      <c r="A734" s="13"/>
      <c r="B734" s="13"/>
      <c r="C734" s="13"/>
      <c r="D734" s="13"/>
      <c r="E734" s="13"/>
      <c r="F734" s="13"/>
      <c r="G734" s="13"/>
      <c r="H734" s="13"/>
      <c r="I734" s="13"/>
      <c r="J734" s="13"/>
      <c r="K734" s="13"/>
      <c r="L734" s="13"/>
      <c r="M734" s="13"/>
      <c r="N734" s="13"/>
      <c r="O734" s="13"/>
      <c r="P734" s="13"/>
    </row>
    <row r="735" spans="1:16" ht="12">
      <c r="A735" s="13"/>
      <c r="B735" s="13"/>
      <c r="C735" s="13"/>
      <c r="D735" s="13"/>
      <c r="E735" s="13"/>
      <c r="F735" s="13"/>
      <c r="G735" s="13"/>
      <c r="H735" s="13"/>
      <c r="I735" s="13"/>
      <c r="J735" s="13"/>
      <c r="K735" s="13"/>
      <c r="L735" s="13"/>
      <c r="M735" s="13"/>
      <c r="N735" s="13"/>
      <c r="O735" s="13"/>
      <c r="P735" s="13"/>
    </row>
    <row r="736" spans="1:16" ht="12">
      <c r="A736" s="13"/>
      <c r="B736" s="13"/>
      <c r="C736" s="13"/>
      <c r="D736" s="13"/>
      <c r="E736" s="13"/>
      <c r="F736" s="13"/>
      <c r="G736" s="13"/>
      <c r="H736" s="13"/>
      <c r="I736" s="13"/>
      <c r="J736" s="13"/>
      <c r="K736" s="13"/>
      <c r="L736" s="13"/>
      <c r="M736" s="13"/>
      <c r="N736" s="13"/>
      <c r="O736" s="13"/>
      <c r="P736" s="13"/>
    </row>
    <row r="737" spans="1:16" ht="12">
      <c r="A737" s="13"/>
      <c r="B737" s="13"/>
      <c r="C737" s="13"/>
      <c r="D737" s="13"/>
      <c r="E737" s="13"/>
      <c r="F737" s="13"/>
      <c r="G737" s="13"/>
      <c r="H737" s="13"/>
      <c r="I737" s="13"/>
      <c r="J737" s="13"/>
      <c r="K737" s="13"/>
      <c r="L737" s="13"/>
      <c r="M737" s="13"/>
      <c r="N737" s="13"/>
      <c r="O737" s="13"/>
      <c r="P737" s="13"/>
    </row>
    <row r="738" spans="1:16" ht="12">
      <c r="A738" s="13"/>
      <c r="B738" s="13"/>
      <c r="C738" s="13"/>
      <c r="D738" s="13"/>
      <c r="E738" s="13"/>
      <c r="F738" s="13"/>
      <c r="G738" s="13"/>
      <c r="H738" s="13"/>
      <c r="I738" s="13"/>
      <c r="J738" s="13"/>
      <c r="K738" s="13"/>
      <c r="L738" s="13"/>
      <c r="M738" s="13"/>
      <c r="N738" s="13"/>
      <c r="O738" s="13"/>
      <c r="P738" s="13"/>
    </row>
    <row r="739" spans="1:16" ht="12">
      <c r="A739" s="13"/>
      <c r="B739" s="13"/>
      <c r="C739" s="13"/>
      <c r="D739" s="13"/>
      <c r="E739" s="13"/>
      <c r="F739" s="13"/>
      <c r="G739" s="13"/>
      <c r="H739" s="13"/>
      <c r="I739" s="13"/>
      <c r="J739" s="13"/>
      <c r="K739" s="13"/>
      <c r="L739" s="13"/>
      <c r="M739" s="13"/>
      <c r="N739" s="13"/>
      <c r="O739" s="13"/>
      <c r="P739" s="13"/>
    </row>
    <row r="740" spans="1:16" ht="12">
      <c r="A740" s="13"/>
      <c r="B740" s="13"/>
      <c r="C740" s="13"/>
      <c r="D740" s="13"/>
      <c r="E740" s="13"/>
      <c r="F740" s="13"/>
      <c r="G740" s="13"/>
      <c r="H740" s="13"/>
      <c r="I740" s="13"/>
      <c r="J740" s="13"/>
      <c r="K740" s="13"/>
      <c r="L740" s="13"/>
      <c r="M740" s="13"/>
      <c r="N740" s="13"/>
      <c r="O740" s="13"/>
      <c r="P740" s="13"/>
    </row>
    <row r="741" spans="1:16" ht="12">
      <c r="A741" s="13"/>
      <c r="B741" s="13"/>
      <c r="C741" s="13"/>
      <c r="D741" s="13"/>
      <c r="E741" s="13"/>
      <c r="F741" s="13"/>
      <c r="G741" s="13"/>
      <c r="H741" s="13"/>
      <c r="I741" s="13"/>
      <c r="J741" s="13"/>
      <c r="K741" s="13"/>
      <c r="L741" s="13"/>
      <c r="M741" s="13"/>
      <c r="N741" s="13"/>
      <c r="O741" s="13"/>
      <c r="P741" s="13"/>
    </row>
    <row r="742" spans="1:16" ht="12">
      <c r="A742" s="13"/>
      <c r="B742" s="13"/>
      <c r="C742" s="13"/>
      <c r="D742" s="13"/>
      <c r="E742" s="13"/>
      <c r="F742" s="13"/>
      <c r="G742" s="13"/>
      <c r="H742" s="13"/>
      <c r="I742" s="13"/>
      <c r="J742" s="13"/>
      <c r="K742" s="13"/>
      <c r="L742" s="13"/>
      <c r="M742" s="13"/>
      <c r="N742" s="13"/>
      <c r="O742" s="13"/>
      <c r="P742" s="13"/>
    </row>
    <row r="743" spans="1:16" ht="12">
      <c r="A743" s="13"/>
      <c r="B743" s="13"/>
      <c r="C743" s="13"/>
      <c r="D743" s="13"/>
      <c r="E743" s="13"/>
      <c r="F743" s="13"/>
      <c r="G743" s="13"/>
      <c r="H743" s="13"/>
      <c r="I743" s="13"/>
      <c r="J743" s="13"/>
      <c r="K743" s="13"/>
      <c r="L743" s="13"/>
      <c r="M743" s="13"/>
      <c r="N743" s="13"/>
      <c r="O743" s="13"/>
      <c r="P743" s="13"/>
    </row>
    <row r="744" spans="1:16" ht="12">
      <c r="A744" s="13"/>
      <c r="B744" s="13"/>
      <c r="C744" s="13"/>
      <c r="D744" s="13"/>
      <c r="E744" s="13"/>
      <c r="F744" s="13"/>
      <c r="G744" s="13"/>
      <c r="H744" s="13"/>
      <c r="I744" s="13"/>
      <c r="J744" s="13"/>
      <c r="K744" s="13"/>
      <c r="L744" s="13"/>
      <c r="M744" s="13"/>
      <c r="N744" s="13"/>
      <c r="O744" s="13"/>
      <c r="P744" s="13"/>
    </row>
    <row r="745" spans="1:16" ht="12">
      <c r="A745" s="13"/>
      <c r="B745" s="13"/>
      <c r="C745" s="13"/>
      <c r="D745" s="13"/>
      <c r="E745" s="13"/>
      <c r="F745" s="13"/>
      <c r="G745" s="13"/>
      <c r="H745" s="13"/>
      <c r="I745" s="13"/>
      <c r="J745" s="13"/>
      <c r="K745" s="13"/>
      <c r="L745" s="13"/>
      <c r="M745" s="13"/>
      <c r="N745" s="13"/>
      <c r="O745" s="13"/>
      <c r="P745" s="13"/>
    </row>
    <row r="746" spans="1:16" ht="12">
      <c r="A746" s="13"/>
      <c r="B746" s="13"/>
      <c r="C746" s="13"/>
      <c r="D746" s="13"/>
      <c r="E746" s="13"/>
      <c r="F746" s="13"/>
      <c r="G746" s="13"/>
      <c r="H746" s="13"/>
      <c r="I746" s="13"/>
      <c r="J746" s="13"/>
      <c r="K746" s="13"/>
      <c r="L746" s="13"/>
      <c r="M746" s="13"/>
      <c r="N746" s="13"/>
      <c r="O746" s="13"/>
      <c r="P746" s="13"/>
    </row>
    <row r="747" spans="1:16" ht="12">
      <c r="A747" s="13"/>
      <c r="B747" s="13"/>
      <c r="C747" s="13"/>
      <c r="D747" s="13"/>
      <c r="E747" s="13"/>
      <c r="F747" s="13"/>
      <c r="G747" s="13"/>
      <c r="H747" s="13"/>
      <c r="I747" s="13"/>
      <c r="J747" s="13"/>
      <c r="K747" s="13"/>
      <c r="L747" s="13"/>
      <c r="M747" s="13"/>
      <c r="N747" s="13"/>
      <c r="O747" s="13"/>
      <c r="P747" s="13"/>
    </row>
    <row r="748" spans="1:16" ht="12">
      <c r="A748" s="13"/>
      <c r="B748" s="13"/>
      <c r="C748" s="13"/>
      <c r="D748" s="13"/>
      <c r="E748" s="13"/>
      <c r="F748" s="13"/>
      <c r="G748" s="13"/>
      <c r="H748" s="13"/>
      <c r="I748" s="13"/>
      <c r="J748" s="13"/>
      <c r="K748" s="13"/>
      <c r="L748" s="13"/>
      <c r="M748" s="13"/>
      <c r="N748" s="13"/>
      <c r="O748" s="13"/>
      <c r="P748" s="13"/>
    </row>
    <row r="749" spans="1:16" ht="12">
      <c r="A749" s="13"/>
      <c r="B749" s="13"/>
      <c r="C749" s="13"/>
      <c r="D749" s="13"/>
      <c r="E749" s="13"/>
      <c r="F749" s="13"/>
      <c r="G749" s="13"/>
      <c r="H749" s="13"/>
      <c r="I749" s="13"/>
      <c r="J749" s="13"/>
      <c r="K749" s="13"/>
      <c r="L749" s="13"/>
      <c r="M749" s="13"/>
      <c r="N749" s="13"/>
      <c r="O749" s="13"/>
      <c r="P749" s="13"/>
    </row>
    <row r="750" spans="1:16" ht="12">
      <c r="A750" s="13"/>
      <c r="B750" s="13"/>
      <c r="C750" s="13"/>
      <c r="D750" s="13"/>
      <c r="E750" s="13"/>
      <c r="F750" s="13"/>
      <c r="G750" s="13"/>
      <c r="H750" s="13"/>
      <c r="I750" s="13"/>
      <c r="J750" s="13"/>
      <c r="K750" s="13"/>
      <c r="L750" s="13"/>
      <c r="M750" s="13"/>
      <c r="N750" s="13"/>
      <c r="O750" s="13"/>
      <c r="P750" s="13"/>
    </row>
    <row r="751" spans="1:16" ht="12">
      <c r="A751" s="13"/>
      <c r="B751" s="13"/>
      <c r="C751" s="13"/>
      <c r="D751" s="13"/>
      <c r="E751" s="13"/>
      <c r="F751" s="13"/>
      <c r="G751" s="13"/>
      <c r="H751" s="13"/>
      <c r="I751" s="13"/>
      <c r="J751" s="13"/>
      <c r="K751" s="13"/>
      <c r="L751" s="13"/>
      <c r="M751" s="13"/>
      <c r="N751" s="13"/>
      <c r="O751" s="13"/>
      <c r="P751" s="13"/>
    </row>
    <row r="752" spans="1:16" ht="12">
      <c r="A752" s="13"/>
      <c r="B752" s="13"/>
      <c r="C752" s="13"/>
      <c r="D752" s="13"/>
      <c r="E752" s="13"/>
      <c r="F752" s="13"/>
      <c r="G752" s="13"/>
      <c r="H752" s="13"/>
      <c r="I752" s="13"/>
      <c r="J752" s="13"/>
      <c r="K752" s="13"/>
      <c r="L752" s="13"/>
      <c r="M752" s="13"/>
      <c r="N752" s="13"/>
      <c r="O752" s="13"/>
      <c r="P752" s="13"/>
    </row>
    <row r="753" spans="1:16" ht="12">
      <c r="A753" s="13"/>
      <c r="B753" s="13"/>
      <c r="C753" s="13"/>
      <c r="D753" s="13"/>
      <c r="E753" s="13"/>
      <c r="F753" s="13"/>
      <c r="G753" s="13"/>
      <c r="H753" s="13"/>
      <c r="I753" s="13"/>
      <c r="J753" s="13"/>
      <c r="K753" s="13"/>
      <c r="L753" s="13"/>
      <c r="M753" s="13"/>
      <c r="N753" s="13"/>
      <c r="O753" s="13"/>
      <c r="P753" s="13"/>
    </row>
    <row r="754" spans="1:16" ht="12">
      <c r="A754" s="13"/>
      <c r="B754" s="13"/>
      <c r="C754" s="13"/>
      <c r="D754" s="13"/>
      <c r="E754" s="13"/>
      <c r="F754" s="13"/>
      <c r="G754" s="13"/>
      <c r="H754" s="13"/>
      <c r="I754" s="13"/>
      <c r="J754" s="13"/>
      <c r="K754" s="13"/>
      <c r="L754" s="13"/>
      <c r="M754" s="13"/>
      <c r="N754" s="13"/>
      <c r="O754" s="13"/>
      <c r="P754" s="13"/>
    </row>
    <row r="755" spans="1:16" ht="12">
      <c r="A755" s="13"/>
      <c r="B755" s="13"/>
      <c r="C755" s="13"/>
      <c r="D755" s="13"/>
      <c r="E755" s="13"/>
      <c r="F755" s="13"/>
      <c r="G755" s="13"/>
      <c r="H755" s="13"/>
      <c r="I755" s="13"/>
      <c r="J755" s="13"/>
      <c r="K755" s="13"/>
      <c r="L755" s="13"/>
      <c r="M755" s="13"/>
      <c r="N755" s="13"/>
      <c r="O755" s="13"/>
      <c r="P755" s="13"/>
    </row>
    <row r="756" spans="1:16" ht="12">
      <c r="A756" s="13"/>
      <c r="B756" s="13"/>
      <c r="C756" s="13"/>
      <c r="D756" s="13"/>
      <c r="E756" s="13"/>
      <c r="F756" s="13"/>
      <c r="G756" s="13"/>
      <c r="H756" s="13"/>
      <c r="I756" s="13"/>
      <c r="J756" s="13"/>
      <c r="K756" s="13"/>
      <c r="L756" s="13"/>
      <c r="M756" s="13"/>
      <c r="N756" s="13"/>
      <c r="O756" s="13"/>
      <c r="P756" s="13"/>
    </row>
    <row r="757" spans="1:16" ht="12">
      <c r="A757" s="13"/>
      <c r="B757" s="13"/>
      <c r="C757" s="13"/>
      <c r="D757" s="13"/>
      <c r="E757" s="13"/>
      <c r="F757" s="13"/>
      <c r="G757" s="13"/>
      <c r="H757" s="13"/>
      <c r="I757" s="13"/>
      <c r="J757" s="13"/>
      <c r="K757" s="13"/>
      <c r="L757" s="13"/>
      <c r="M757" s="13"/>
      <c r="N757" s="13"/>
      <c r="O757" s="13"/>
      <c r="P757" s="13"/>
    </row>
    <row r="758" spans="1:16" ht="12">
      <c r="A758" s="13"/>
      <c r="B758" s="13"/>
      <c r="C758" s="13"/>
      <c r="D758" s="13"/>
      <c r="E758" s="13"/>
      <c r="F758" s="13"/>
      <c r="G758" s="13"/>
      <c r="H758" s="13"/>
      <c r="I758" s="13"/>
      <c r="J758" s="13"/>
      <c r="K758" s="13"/>
      <c r="L758" s="13"/>
      <c r="M758" s="13"/>
      <c r="N758" s="13"/>
      <c r="O758" s="13"/>
      <c r="P758" s="13"/>
    </row>
    <row r="759" spans="1:16" ht="12">
      <c r="A759" s="13"/>
      <c r="B759" s="13"/>
      <c r="C759" s="13"/>
      <c r="D759" s="13"/>
      <c r="E759" s="13"/>
      <c r="F759" s="13"/>
      <c r="G759" s="13"/>
      <c r="H759" s="13"/>
      <c r="I759" s="13"/>
      <c r="J759" s="13"/>
      <c r="K759" s="13"/>
      <c r="L759" s="13"/>
      <c r="M759" s="13"/>
      <c r="N759" s="13"/>
      <c r="O759" s="13"/>
      <c r="P759" s="13"/>
    </row>
    <row r="760" spans="1:16" ht="12">
      <c r="A760" s="13"/>
      <c r="B760" s="13"/>
      <c r="C760" s="13"/>
      <c r="D760" s="13"/>
      <c r="E760" s="13"/>
      <c r="F760" s="13"/>
      <c r="G760" s="13"/>
      <c r="H760" s="13"/>
      <c r="I760" s="13"/>
      <c r="J760" s="13"/>
      <c r="K760" s="13"/>
      <c r="L760" s="13"/>
      <c r="M760" s="13"/>
      <c r="N760" s="13"/>
      <c r="O760" s="13"/>
      <c r="P760" s="13"/>
    </row>
    <row r="761" spans="1:16" ht="12">
      <c r="A761" s="13"/>
      <c r="B761" s="13"/>
      <c r="C761" s="13"/>
      <c r="D761" s="13"/>
      <c r="E761" s="13"/>
      <c r="F761" s="13"/>
      <c r="G761" s="13"/>
      <c r="H761" s="13"/>
      <c r="I761" s="13"/>
      <c r="J761" s="13"/>
      <c r="K761" s="13"/>
      <c r="L761" s="13"/>
      <c r="M761" s="13"/>
      <c r="N761" s="13"/>
      <c r="O761" s="13"/>
      <c r="P761" s="13"/>
    </row>
    <row r="762" spans="1:16" ht="12">
      <c r="A762" s="13"/>
      <c r="B762" s="13"/>
      <c r="C762" s="13"/>
      <c r="D762" s="13"/>
      <c r="E762" s="13"/>
      <c r="F762" s="13"/>
      <c r="G762" s="13"/>
      <c r="H762" s="13"/>
      <c r="I762" s="13"/>
      <c r="J762" s="13"/>
      <c r="K762" s="13"/>
      <c r="L762" s="13"/>
      <c r="M762" s="13"/>
      <c r="N762" s="13"/>
      <c r="O762" s="13"/>
      <c r="P762" s="13"/>
    </row>
    <row r="763" spans="1:16" ht="12">
      <c r="A763" s="13"/>
      <c r="B763" s="13"/>
      <c r="C763" s="13"/>
      <c r="D763" s="13"/>
      <c r="E763" s="13"/>
      <c r="F763" s="13"/>
      <c r="G763" s="13"/>
      <c r="H763" s="13"/>
      <c r="I763" s="13"/>
      <c r="J763" s="13"/>
      <c r="K763" s="13"/>
      <c r="L763" s="13"/>
      <c r="M763" s="13"/>
      <c r="N763" s="13"/>
      <c r="O763" s="13"/>
      <c r="P763" s="13"/>
    </row>
    <row r="764" spans="1:16" ht="12">
      <c r="A764" s="13"/>
      <c r="B764" s="13"/>
      <c r="C764" s="13"/>
      <c r="D764" s="13"/>
      <c r="E764" s="13"/>
      <c r="F764" s="13"/>
      <c r="G764" s="13"/>
      <c r="H764" s="13"/>
      <c r="I764" s="13"/>
      <c r="J764" s="13"/>
      <c r="K764" s="13"/>
      <c r="L764" s="13"/>
      <c r="M764" s="13"/>
      <c r="N764" s="13"/>
      <c r="O764" s="13"/>
      <c r="P764" s="13"/>
    </row>
    <row r="765" spans="1:16" ht="12">
      <c r="A765" s="13"/>
      <c r="B765" s="13"/>
      <c r="C765" s="13"/>
      <c r="D765" s="13"/>
      <c r="E765" s="13"/>
      <c r="F765" s="13"/>
      <c r="G765" s="13"/>
      <c r="H765" s="13"/>
      <c r="I765" s="13"/>
      <c r="J765" s="13"/>
      <c r="K765" s="13"/>
      <c r="L765" s="13"/>
      <c r="M765" s="13"/>
      <c r="N765" s="13"/>
      <c r="O765" s="13"/>
      <c r="P765" s="13"/>
    </row>
    <row r="766" spans="1:16" ht="12">
      <c r="A766" s="13"/>
      <c r="B766" s="13"/>
      <c r="C766" s="13"/>
      <c r="D766" s="13"/>
      <c r="E766" s="13"/>
      <c r="F766" s="13"/>
      <c r="G766" s="13"/>
      <c r="H766" s="13"/>
      <c r="I766" s="13"/>
      <c r="J766" s="13"/>
      <c r="K766" s="13"/>
      <c r="L766" s="13"/>
      <c r="M766" s="13"/>
      <c r="N766" s="13"/>
      <c r="O766" s="13"/>
      <c r="P766" s="13"/>
    </row>
    <row r="767" spans="1:16" ht="12">
      <c r="A767" s="13"/>
      <c r="B767" s="13"/>
      <c r="C767" s="13"/>
      <c r="D767" s="13"/>
      <c r="E767" s="13"/>
      <c r="F767" s="13"/>
      <c r="G767" s="13"/>
      <c r="H767" s="13"/>
      <c r="I767" s="13"/>
      <c r="J767" s="13"/>
      <c r="K767" s="13"/>
      <c r="L767" s="13"/>
      <c r="M767" s="13"/>
      <c r="N767" s="13"/>
      <c r="O767" s="13"/>
      <c r="P767" s="13"/>
    </row>
    <row r="768" spans="1:16" ht="12">
      <c r="A768" s="13"/>
      <c r="B768" s="13"/>
      <c r="C768" s="13"/>
      <c r="D768" s="13"/>
      <c r="E768" s="13"/>
      <c r="F768" s="13"/>
      <c r="G768" s="13"/>
      <c r="H768" s="13"/>
      <c r="I768" s="13"/>
      <c r="J768" s="13"/>
      <c r="K768" s="13"/>
      <c r="L768" s="13"/>
      <c r="M768" s="13"/>
      <c r="N768" s="13"/>
      <c r="O768" s="13"/>
      <c r="P768" s="13"/>
    </row>
    <row r="769" spans="1:16" ht="12">
      <c r="A769" s="13"/>
      <c r="B769" s="13"/>
      <c r="C769" s="13"/>
      <c r="D769" s="13"/>
      <c r="E769" s="13"/>
      <c r="F769" s="13"/>
      <c r="G769" s="13"/>
      <c r="H769" s="13"/>
      <c r="I769" s="13"/>
      <c r="J769" s="13"/>
      <c r="K769" s="13"/>
      <c r="L769" s="13"/>
      <c r="M769" s="13"/>
      <c r="N769" s="13"/>
      <c r="O769" s="13"/>
      <c r="P769" s="13"/>
    </row>
    <row r="770" spans="1:16" ht="12">
      <c r="A770" s="13"/>
      <c r="B770" s="13"/>
      <c r="C770" s="13"/>
      <c r="D770" s="13"/>
      <c r="E770" s="13"/>
      <c r="F770" s="13"/>
      <c r="G770" s="13"/>
      <c r="H770" s="13"/>
      <c r="I770" s="13"/>
      <c r="J770" s="13"/>
      <c r="K770" s="13"/>
      <c r="L770" s="13"/>
      <c r="M770" s="13"/>
      <c r="N770" s="13"/>
      <c r="O770" s="13"/>
      <c r="P770" s="13"/>
    </row>
    <row r="771" spans="1:16" ht="12">
      <c r="A771" s="13"/>
      <c r="B771" s="13"/>
      <c r="C771" s="13"/>
      <c r="D771" s="13"/>
      <c r="E771" s="13"/>
      <c r="F771" s="13"/>
      <c r="G771" s="13"/>
      <c r="H771" s="13"/>
      <c r="I771" s="13"/>
      <c r="J771" s="13"/>
      <c r="K771" s="13"/>
      <c r="L771" s="13"/>
      <c r="M771" s="13"/>
      <c r="N771" s="13"/>
      <c r="O771" s="13"/>
      <c r="P771" s="13"/>
    </row>
    <row r="772" spans="1:16" ht="12">
      <c r="A772" s="13"/>
      <c r="B772" s="13"/>
      <c r="C772" s="13"/>
      <c r="D772" s="13"/>
      <c r="E772" s="13"/>
      <c r="F772" s="13"/>
      <c r="G772" s="13"/>
      <c r="H772" s="13"/>
      <c r="I772" s="13"/>
      <c r="J772" s="13"/>
      <c r="K772" s="13"/>
      <c r="L772" s="13"/>
      <c r="M772" s="13"/>
      <c r="N772" s="13"/>
      <c r="O772" s="13"/>
      <c r="P772" s="13"/>
    </row>
    <row r="773" spans="1:16" ht="12">
      <c r="A773" s="13"/>
      <c r="B773" s="13"/>
      <c r="C773" s="13"/>
      <c r="D773" s="13"/>
      <c r="E773" s="13"/>
      <c r="F773" s="13"/>
      <c r="G773" s="13"/>
      <c r="H773" s="13"/>
      <c r="I773" s="13"/>
      <c r="J773" s="13"/>
      <c r="K773" s="13"/>
      <c r="L773" s="13"/>
      <c r="M773" s="13"/>
      <c r="N773" s="13"/>
      <c r="O773" s="13"/>
      <c r="P773" s="13"/>
    </row>
    <row r="774" spans="1:16" ht="12">
      <c r="A774" s="13"/>
      <c r="B774" s="13"/>
      <c r="C774" s="13"/>
      <c r="D774" s="13"/>
      <c r="E774" s="13"/>
      <c r="F774" s="13"/>
      <c r="G774" s="13"/>
      <c r="H774" s="13"/>
      <c r="I774" s="13"/>
      <c r="J774" s="13"/>
      <c r="K774" s="13"/>
      <c r="L774" s="13"/>
      <c r="M774" s="13"/>
      <c r="N774" s="13"/>
      <c r="O774" s="13"/>
      <c r="P774" s="13"/>
    </row>
    <row r="775" spans="1:16" ht="12">
      <c r="A775" s="13"/>
      <c r="B775" s="13"/>
      <c r="C775" s="13"/>
      <c r="D775" s="13"/>
      <c r="E775" s="13"/>
      <c r="F775" s="13"/>
      <c r="G775" s="13"/>
      <c r="H775" s="13"/>
      <c r="I775" s="13"/>
      <c r="J775" s="13"/>
      <c r="K775" s="13"/>
      <c r="L775" s="13"/>
      <c r="M775" s="13"/>
      <c r="N775" s="13"/>
      <c r="O775" s="13"/>
      <c r="P775" s="13"/>
    </row>
    <row r="776" spans="1:16" ht="12">
      <c r="A776" s="13"/>
      <c r="B776" s="13"/>
      <c r="C776" s="13"/>
      <c r="D776" s="13"/>
      <c r="E776" s="13"/>
      <c r="F776" s="13"/>
      <c r="G776" s="13"/>
      <c r="H776" s="13"/>
      <c r="I776" s="13"/>
      <c r="J776" s="13"/>
      <c r="K776" s="13"/>
      <c r="L776" s="13"/>
      <c r="M776" s="13"/>
      <c r="N776" s="13"/>
      <c r="O776" s="13"/>
      <c r="P776" s="13"/>
    </row>
    <row r="777" spans="1:16" ht="12">
      <c r="A777" s="13"/>
      <c r="B777" s="13"/>
      <c r="C777" s="13"/>
      <c r="D777" s="13"/>
      <c r="E777" s="13"/>
      <c r="F777" s="13"/>
      <c r="G777" s="13"/>
      <c r="H777" s="13"/>
      <c r="I777" s="13"/>
      <c r="J777" s="13"/>
      <c r="K777" s="13"/>
      <c r="L777" s="13"/>
      <c r="M777" s="13"/>
      <c r="N777" s="13"/>
      <c r="O777" s="13"/>
      <c r="P777" s="13"/>
    </row>
    <row r="778" spans="1:16" ht="12">
      <c r="A778" s="13"/>
      <c r="B778" s="13"/>
      <c r="C778" s="13"/>
      <c r="D778" s="13"/>
      <c r="E778" s="13"/>
      <c r="F778" s="13"/>
      <c r="G778" s="13"/>
      <c r="H778" s="13"/>
      <c r="I778" s="13"/>
      <c r="J778" s="13"/>
      <c r="K778" s="13"/>
      <c r="L778" s="13"/>
      <c r="M778" s="13"/>
      <c r="N778" s="13"/>
      <c r="O778" s="13"/>
      <c r="P778" s="13"/>
    </row>
    <row r="779" spans="1:16" ht="12">
      <c r="A779" s="13"/>
      <c r="B779" s="13"/>
      <c r="C779" s="13"/>
      <c r="D779" s="13"/>
      <c r="E779" s="13"/>
      <c r="F779" s="13"/>
      <c r="G779" s="13"/>
      <c r="H779" s="13"/>
      <c r="I779" s="13"/>
      <c r="J779" s="13"/>
      <c r="K779" s="13"/>
      <c r="L779" s="13"/>
      <c r="M779" s="13"/>
      <c r="N779" s="13"/>
      <c r="O779" s="13"/>
      <c r="P779" s="13"/>
    </row>
    <row r="780" spans="1:16" ht="12">
      <c r="A780" s="13"/>
      <c r="B780" s="13"/>
      <c r="C780" s="13"/>
      <c r="D780" s="13"/>
      <c r="E780" s="13"/>
      <c r="F780" s="13"/>
      <c r="G780" s="13"/>
      <c r="H780" s="13"/>
      <c r="I780" s="13"/>
      <c r="J780" s="13"/>
      <c r="K780" s="13"/>
      <c r="L780" s="13"/>
      <c r="M780" s="13"/>
      <c r="N780" s="13"/>
      <c r="O780" s="13"/>
      <c r="P780" s="13"/>
    </row>
    <row r="781" spans="1:16" ht="12">
      <c r="A781" s="13"/>
      <c r="B781" s="13"/>
      <c r="C781" s="13"/>
      <c r="D781" s="13"/>
      <c r="E781" s="13"/>
      <c r="F781" s="13"/>
      <c r="G781" s="13"/>
      <c r="H781" s="13"/>
      <c r="I781" s="13"/>
      <c r="J781" s="13"/>
      <c r="K781" s="13"/>
      <c r="L781" s="13"/>
      <c r="M781" s="13"/>
      <c r="N781" s="13"/>
      <c r="O781" s="13"/>
      <c r="P781" s="13"/>
    </row>
    <row r="782" spans="1:16" ht="12">
      <c r="A782" s="13"/>
      <c r="B782" s="13"/>
      <c r="C782" s="13"/>
      <c r="D782" s="13"/>
      <c r="E782" s="13"/>
      <c r="F782" s="13"/>
      <c r="G782" s="13"/>
      <c r="H782" s="13"/>
      <c r="I782" s="13"/>
      <c r="J782" s="13"/>
      <c r="K782" s="13"/>
      <c r="L782" s="13"/>
      <c r="M782" s="13"/>
      <c r="N782" s="13"/>
      <c r="O782" s="13"/>
      <c r="P782" s="13"/>
    </row>
    <row r="783" spans="1:16" ht="12">
      <c r="A783" s="13"/>
      <c r="B783" s="13"/>
      <c r="C783" s="13"/>
      <c r="D783" s="13"/>
      <c r="E783" s="13"/>
      <c r="F783" s="13"/>
      <c r="G783" s="13"/>
      <c r="H783" s="13"/>
      <c r="I783" s="13"/>
      <c r="J783" s="13"/>
      <c r="K783" s="13"/>
      <c r="L783" s="13"/>
      <c r="M783" s="13"/>
      <c r="N783" s="13"/>
      <c r="O783" s="13"/>
      <c r="P783" s="13"/>
    </row>
    <row r="784" spans="1:16" ht="12">
      <c r="A784" s="13"/>
      <c r="B784" s="13"/>
      <c r="C784" s="13"/>
      <c r="D784" s="13"/>
      <c r="E784" s="13"/>
      <c r="F784" s="13"/>
      <c r="G784" s="13"/>
      <c r="H784" s="13"/>
      <c r="I784" s="13"/>
      <c r="J784" s="13"/>
      <c r="K784" s="13"/>
      <c r="L784" s="13"/>
      <c r="M784" s="13"/>
      <c r="N784" s="13"/>
      <c r="O784" s="13"/>
      <c r="P784" s="13"/>
    </row>
    <row r="785" spans="1:16" ht="12">
      <c r="A785" s="13"/>
      <c r="B785" s="13"/>
      <c r="C785" s="13"/>
      <c r="D785" s="13"/>
      <c r="E785" s="13"/>
      <c r="F785" s="13"/>
      <c r="G785" s="13"/>
      <c r="H785" s="13"/>
      <c r="I785" s="13"/>
      <c r="J785" s="13"/>
      <c r="K785" s="13"/>
      <c r="L785" s="13"/>
      <c r="M785" s="13"/>
      <c r="N785" s="13"/>
      <c r="O785" s="13"/>
      <c r="P785" s="13"/>
    </row>
    <row r="786" spans="1:16" ht="12">
      <c r="A786" s="13"/>
      <c r="B786" s="13"/>
      <c r="C786" s="13"/>
      <c r="D786" s="13"/>
      <c r="E786" s="13"/>
      <c r="F786" s="13"/>
      <c r="G786" s="13"/>
      <c r="H786" s="13"/>
      <c r="I786" s="13"/>
      <c r="J786" s="13"/>
      <c r="K786" s="13"/>
      <c r="L786" s="13"/>
      <c r="M786" s="13"/>
      <c r="N786" s="13"/>
      <c r="O786" s="13"/>
      <c r="P786" s="13"/>
    </row>
    <row r="787" spans="1:16" ht="12">
      <c r="A787" s="13"/>
      <c r="B787" s="13"/>
      <c r="C787" s="13"/>
      <c r="D787" s="13"/>
      <c r="E787" s="13"/>
      <c r="F787" s="13"/>
      <c r="G787" s="13"/>
      <c r="H787" s="13"/>
      <c r="I787" s="13"/>
      <c r="J787" s="13"/>
      <c r="K787" s="13"/>
      <c r="L787" s="13"/>
      <c r="M787" s="13"/>
      <c r="N787" s="13"/>
      <c r="O787" s="13"/>
      <c r="P787" s="13"/>
    </row>
    <row r="788" spans="1:16" ht="12">
      <c r="A788" s="13"/>
      <c r="B788" s="13"/>
      <c r="C788" s="13"/>
      <c r="D788" s="13"/>
      <c r="E788" s="13"/>
      <c r="F788" s="13"/>
      <c r="G788" s="13"/>
      <c r="H788" s="13"/>
      <c r="I788" s="13"/>
      <c r="J788" s="13"/>
      <c r="K788" s="13"/>
      <c r="L788" s="13"/>
      <c r="M788" s="13"/>
      <c r="N788" s="13"/>
      <c r="O788" s="13"/>
      <c r="P788" s="13"/>
    </row>
    <row r="789" spans="1:16" ht="12">
      <c r="A789" s="13"/>
      <c r="B789" s="13"/>
      <c r="C789" s="13"/>
      <c r="D789" s="13"/>
      <c r="E789" s="13"/>
      <c r="F789" s="13"/>
      <c r="G789" s="13"/>
      <c r="H789" s="13"/>
      <c r="I789" s="13"/>
      <c r="J789" s="13"/>
      <c r="K789" s="13"/>
      <c r="L789" s="13"/>
      <c r="M789" s="13"/>
      <c r="N789" s="13"/>
      <c r="O789" s="13"/>
      <c r="P789" s="13"/>
    </row>
    <row r="790" spans="1:16" ht="12">
      <c r="A790" s="13"/>
      <c r="B790" s="13"/>
      <c r="C790" s="13"/>
      <c r="D790" s="13"/>
      <c r="E790" s="13"/>
      <c r="F790" s="13"/>
      <c r="G790" s="13"/>
      <c r="H790" s="13"/>
      <c r="I790" s="13"/>
      <c r="J790" s="13"/>
      <c r="K790" s="13"/>
      <c r="L790" s="13"/>
      <c r="M790" s="13"/>
      <c r="N790" s="13"/>
      <c r="O790" s="13"/>
      <c r="P790" s="13"/>
    </row>
    <row r="791" spans="1:16" ht="12">
      <c r="A791" s="13"/>
      <c r="B791" s="13"/>
      <c r="C791" s="13"/>
      <c r="D791" s="13"/>
      <c r="E791" s="13"/>
      <c r="F791" s="13"/>
      <c r="G791" s="13"/>
      <c r="H791" s="13"/>
      <c r="I791" s="13"/>
      <c r="J791" s="13"/>
      <c r="K791" s="13"/>
      <c r="L791" s="13"/>
      <c r="M791" s="13"/>
      <c r="N791" s="13"/>
      <c r="O791" s="13"/>
      <c r="P791" s="13"/>
    </row>
  </sheetData>
  <sheetProtection password="D8FD" sheet="1" objects="1" scenarios="1"/>
  <mergeCells count="1">
    <mergeCell ref="H4:I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Foglio6"/>
  <dimension ref="A1:AO51"/>
  <sheetViews>
    <sheetView zoomScalePageLayoutView="0" workbookViewId="0" topLeftCell="A1">
      <pane xSplit="1" ySplit="3" topLeftCell="C13" activePane="bottomRight" state="frozen"/>
      <selection pane="topLeft" activeCell="A1" sqref="A1"/>
      <selection pane="topRight" activeCell="B1" sqref="B1"/>
      <selection pane="bottomLeft" activeCell="A4" sqref="A4"/>
      <selection pane="bottomRight" activeCell="E16" sqref="E16"/>
    </sheetView>
  </sheetViews>
  <sheetFormatPr defaultColWidth="9.140625" defaultRowHeight="12.75"/>
  <cols>
    <col min="1" max="1" width="4.7109375" style="0" customWidth="1"/>
    <col min="2" max="17" width="10.7109375" style="0" customWidth="1"/>
    <col min="18" max="18" width="4.7109375" style="0" customWidth="1"/>
    <col min="19" max="19" width="5.140625" style="0" customWidth="1"/>
    <col min="20" max="20" width="29.8515625" style="0" customWidth="1"/>
    <col min="21" max="21" width="11.7109375" style="0" customWidth="1"/>
    <col min="22" max="22" width="5.140625" style="0" customWidth="1"/>
    <col min="23" max="23" width="4.57421875" style="0" customWidth="1"/>
    <col min="24" max="24" width="8.00390625" style="0" customWidth="1"/>
    <col min="25" max="25" width="11.421875" style="0" customWidth="1"/>
    <col min="26" max="26" width="12.421875" style="0" customWidth="1"/>
    <col min="27" max="27" width="13.140625" style="0" customWidth="1"/>
    <col min="28" max="28" width="11.57421875" style="0" customWidth="1"/>
    <col min="29" max="29" width="10.7109375" style="0" customWidth="1"/>
    <col min="30" max="30" width="11.28125" style="0" customWidth="1"/>
    <col min="31" max="31" width="11.7109375" style="0" customWidth="1"/>
    <col min="32" max="32" width="11.28125" style="0" customWidth="1"/>
    <col min="36" max="36" width="12.7109375" style="0" customWidth="1"/>
    <col min="37" max="37" width="11.421875" style="0" customWidth="1"/>
    <col min="39" max="39" width="13.57421875" style="0" customWidth="1"/>
  </cols>
  <sheetData>
    <row r="1" spans="1:41" ht="15">
      <c r="A1" s="51"/>
      <c r="B1" s="52" t="s">
        <v>533</v>
      </c>
      <c r="C1" s="51"/>
      <c r="D1" s="51"/>
      <c r="E1" s="51"/>
      <c r="F1" s="51"/>
      <c r="G1" s="51"/>
      <c r="H1" s="51"/>
      <c r="I1" s="51"/>
      <c r="J1" s="51"/>
      <c r="K1" s="51"/>
      <c r="L1" s="51"/>
      <c r="M1" s="51"/>
      <c r="N1" s="51"/>
      <c r="O1" s="51"/>
      <c r="P1" s="51"/>
      <c r="Q1" s="51"/>
      <c r="R1" s="37"/>
      <c r="S1" s="37"/>
      <c r="T1" s="37"/>
      <c r="U1" s="37"/>
      <c r="V1" s="37"/>
      <c r="X1" s="105" t="s">
        <v>132</v>
      </c>
      <c r="Y1" s="13"/>
      <c r="Z1" s="13"/>
      <c r="AA1" s="13"/>
      <c r="AB1" s="13"/>
      <c r="AC1" s="13"/>
      <c r="AD1" s="115">
        <f>Datipers!B25</f>
        <v>28</v>
      </c>
      <c r="AE1" s="115">
        <f>Datipers!C13+1</f>
        <v>6</v>
      </c>
      <c r="AF1" s="122">
        <f>INT(VLOOKUP(AD1,X9:AF15,AE1))</f>
        <v>1726</v>
      </c>
      <c r="AH1" s="132"/>
      <c r="AI1" s="132"/>
      <c r="AJ1" s="132"/>
      <c r="AK1" s="132"/>
      <c r="AL1" s="132"/>
      <c r="AM1" s="132"/>
      <c r="AN1" s="132"/>
      <c r="AO1" s="132"/>
    </row>
    <row r="2" spans="1:41" ht="14.25" customHeight="1">
      <c r="A2" s="25"/>
      <c r="B2" s="20" t="s">
        <v>5</v>
      </c>
      <c r="C2" s="20"/>
      <c r="D2" s="21" t="s">
        <v>8</v>
      </c>
      <c r="E2" s="21"/>
      <c r="F2" s="23" t="s">
        <v>28</v>
      </c>
      <c r="G2" s="23"/>
      <c r="H2" s="27" t="s">
        <v>515</v>
      </c>
      <c r="I2" s="27"/>
      <c r="J2" s="29" t="s">
        <v>516</v>
      </c>
      <c r="K2" s="29"/>
      <c r="L2" s="31" t="s">
        <v>9</v>
      </c>
      <c r="M2" s="31"/>
      <c r="N2" s="33" t="s">
        <v>10</v>
      </c>
      <c r="O2" s="33"/>
      <c r="P2" s="35" t="s">
        <v>11</v>
      </c>
      <c r="Q2" s="35"/>
      <c r="R2" s="37"/>
      <c r="S2" s="38"/>
      <c r="T2" s="38"/>
      <c r="U2" s="38"/>
      <c r="V2" s="42"/>
      <c r="X2" s="1"/>
      <c r="Y2" s="1"/>
      <c r="Z2" s="1"/>
      <c r="AA2" s="1"/>
      <c r="AB2" s="1"/>
      <c r="AC2" s="1"/>
      <c r="AD2" s="1"/>
      <c r="AE2" s="1"/>
      <c r="AF2" s="1"/>
      <c r="AH2" s="133"/>
      <c r="AI2" s="133"/>
      <c r="AJ2" s="133"/>
      <c r="AK2" s="133"/>
      <c r="AL2" s="133"/>
      <c r="AM2" s="133"/>
      <c r="AN2" s="133"/>
      <c r="AO2" s="133"/>
    </row>
    <row r="3" spans="1:41" ht="12.75">
      <c r="A3" s="26" t="s">
        <v>12</v>
      </c>
      <c r="B3" s="22" t="s">
        <v>6</v>
      </c>
      <c r="C3" s="22" t="s">
        <v>7</v>
      </c>
      <c r="D3" s="56" t="s">
        <v>6</v>
      </c>
      <c r="E3" s="56" t="s">
        <v>7</v>
      </c>
      <c r="F3" s="54" t="s">
        <v>6</v>
      </c>
      <c r="G3" s="24" t="s">
        <v>7</v>
      </c>
      <c r="H3" s="28" t="s">
        <v>6</v>
      </c>
      <c r="I3" s="28" t="s">
        <v>7</v>
      </c>
      <c r="J3" s="30" t="s">
        <v>6</v>
      </c>
      <c r="K3" s="30" t="s">
        <v>7</v>
      </c>
      <c r="L3" s="32" t="s">
        <v>6</v>
      </c>
      <c r="M3" s="32" t="s">
        <v>7</v>
      </c>
      <c r="N3" s="34" t="s">
        <v>6</v>
      </c>
      <c r="O3" s="34" t="s">
        <v>7</v>
      </c>
      <c r="P3" s="36" t="s">
        <v>6</v>
      </c>
      <c r="Q3" s="36" t="s">
        <v>7</v>
      </c>
      <c r="R3" s="39"/>
      <c r="S3" s="40"/>
      <c r="T3" s="40"/>
      <c r="U3" s="40"/>
      <c r="V3" s="42"/>
      <c r="X3" s="106" t="s">
        <v>104</v>
      </c>
      <c r="Y3" s="107" t="s">
        <v>105</v>
      </c>
      <c r="Z3" s="107" t="s">
        <v>106</v>
      </c>
      <c r="AA3" s="107" t="s">
        <v>107</v>
      </c>
      <c r="AB3" s="107" t="s">
        <v>514</v>
      </c>
      <c r="AC3" s="107" t="s">
        <v>108</v>
      </c>
      <c r="AD3" s="107" t="s">
        <v>109</v>
      </c>
      <c r="AE3" s="107" t="s">
        <v>108</v>
      </c>
      <c r="AF3" s="107" t="s">
        <v>110</v>
      </c>
      <c r="AH3" s="133"/>
      <c r="AI3" s="13"/>
      <c r="AJ3" s="13"/>
      <c r="AK3" s="13"/>
      <c r="AL3" s="13"/>
      <c r="AM3" s="13"/>
      <c r="AN3" s="13"/>
      <c r="AO3" s="133"/>
    </row>
    <row r="4" spans="1:41" ht="15">
      <c r="A4" s="26">
        <v>0</v>
      </c>
      <c r="B4" s="640">
        <v>8808.579478688405</v>
      </c>
      <c r="C4" s="640">
        <v>8881.626588179675</v>
      </c>
      <c r="D4" s="641">
        <v>10541.253666689048</v>
      </c>
      <c r="E4" s="641">
        <v>10629.877301051773</v>
      </c>
      <c r="F4" s="642">
        <v>12860.745684641088</v>
      </c>
      <c r="G4" s="643">
        <v>12970.246830234904</v>
      </c>
      <c r="H4" s="644">
        <v>15597.27</v>
      </c>
      <c r="I4" s="644">
        <v>15597.27</v>
      </c>
      <c r="J4" s="645">
        <v>13085.11</v>
      </c>
      <c r="K4" s="645">
        <v>13196.620013125</v>
      </c>
      <c r="L4" s="646">
        <v>13085.11</v>
      </c>
      <c r="M4" s="646">
        <v>13196.620013125</v>
      </c>
      <c r="N4" s="647">
        <v>14670.91</v>
      </c>
      <c r="O4" s="647">
        <v>14796.660839125001</v>
      </c>
      <c r="P4" s="648">
        <v>14670.91</v>
      </c>
      <c r="Q4" s="648">
        <v>14796.660839125001</v>
      </c>
      <c r="R4" s="42"/>
      <c r="S4" s="40"/>
      <c r="T4" s="40"/>
      <c r="U4" s="40"/>
      <c r="V4" s="42"/>
      <c r="X4" s="106" t="s">
        <v>122</v>
      </c>
      <c r="Y4" s="107" t="s">
        <v>111</v>
      </c>
      <c r="Z4" s="107" t="s">
        <v>112</v>
      </c>
      <c r="AA4" s="107" t="s">
        <v>113</v>
      </c>
      <c r="AB4" s="107" t="s">
        <v>518</v>
      </c>
      <c r="AC4" s="107" t="s">
        <v>119</v>
      </c>
      <c r="AD4" s="107" t="s">
        <v>114</v>
      </c>
      <c r="AE4" s="107" t="s">
        <v>115</v>
      </c>
      <c r="AF4" s="107" t="s">
        <v>116</v>
      </c>
      <c r="AH4" s="133"/>
      <c r="AI4" s="13"/>
      <c r="AJ4" s="13"/>
      <c r="AK4" s="140" t="s">
        <v>305</v>
      </c>
      <c r="AL4" s="13"/>
      <c r="AM4" s="141">
        <f>Datipers!M27</f>
        <v>0</v>
      </c>
      <c r="AN4" s="13"/>
      <c r="AO4" s="133"/>
    </row>
    <row r="5" spans="1:41" ht="12.75">
      <c r="A5" s="26">
        <f>A4+1</f>
        <v>1</v>
      </c>
      <c r="B5" s="124">
        <v>8808.579478688405</v>
      </c>
      <c r="C5" s="124">
        <v>8881.626588179675</v>
      </c>
      <c r="D5" s="56">
        <v>10541.253666689048</v>
      </c>
      <c r="E5" s="56">
        <v>10629.877301051773</v>
      </c>
      <c r="F5" s="125">
        <v>12860.745684641088</v>
      </c>
      <c r="G5" s="126">
        <v>12970.246830234904</v>
      </c>
      <c r="H5" s="127">
        <v>15597.27</v>
      </c>
      <c r="I5" s="127">
        <v>15597.27</v>
      </c>
      <c r="J5" s="128">
        <v>13085.11</v>
      </c>
      <c r="K5" s="128">
        <v>13196.620013125</v>
      </c>
      <c r="L5" s="129">
        <v>13085.11</v>
      </c>
      <c r="M5" s="129">
        <v>13196.620013125</v>
      </c>
      <c r="N5" s="130">
        <v>14670.91</v>
      </c>
      <c r="O5" s="130">
        <v>14796.660839125001</v>
      </c>
      <c r="P5" s="131">
        <v>14670.91</v>
      </c>
      <c r="Q5" s="131">
        <v>14796.660839125001</v>
      </c>
      <c r="R5" s="42"/>
      <c r="S5" s="41"/>
      <c r="T5" s="41"/>
      <c r="U5" s="41"/>
      <c r="V5" s="42"/>
      <c r="X5" s="108"/>
      <c r="Y5" s="109"/>
      <c r="Z5" s="109" t="s">
        <v>117</v>
      </c>
      <c r="AA5" s="109" t="s">
        <v>118</v>
      </c>
      <c r="AB5" s="109"/>
      <c r="AC5" s="109"/>
      <c r="AD5" s="109" t="s">
        <v>116</v>
      </c>
      <c r="AE5" s="109"/>
      <c r="AF5" s="109" t="s">
        <v>120</v>
      </c>
      <c r="AH5" s="133"/>
      <c r="AI5" s="13"/>
      <c r="AJ5" s="13"/>
      <c r="AK5" s="13"/>
      <c r="AL5" s="13"/>
      <c r="AM5" s="13"/>
      <c r="AN5" s="13"/>
      <c r="AO5" s="133"/>
    </row>
    <row r="6" spans="1:41" ht="12.75">
      <c r="A6" s="26">
        <f>A5+1</f>
        <v>2</v>
      </c>
      <c r="B6" s="124">
        <v>8808.579478688405</v>
      </c>
      <c r="C6" s="124">
        <v>8881.626588179675</v>
      </c>
      <c r="D6" s="56">
        <v>10541.253666689048</v>
      </c>
      <c r="E6" s="56">
        <v>10629.877301051773</v>
      </c>
      <c r="F6" s="125">
        <v>12860.745684641088</v>
      </c>
      <c r="G6" s="126">
        <v>12970.246830234904</v>
      </c>
      <c r="H6" s="127">
        <v>15597.27</v>
      </c>
      <c r="I6" s="127">
        <v>15597.27</v>
      </c>
      <c r="J6" s="128">
        <v>13085.11</v>
      </c>
      <c r="K6" s="128">
        <v>13196.620013125</v>
      </c>
      <c r="L6" s="129">
        <v>13085.11</v>
      </c>
      <c r="M6" s="129">
        <v>13196.620013125</v>
      </c>
      <c r="N6" s="130">
        <v>14670.91</v>
      </c>
      <c r="O6" s="130">
        <v>14796.660839125001</v>
      </c>
      <c r="P6" s="131">
        <v>14670.91</v>
      </c>
      <c r="Q6" s="131">
        <v>14796.660839125001</v>
      </c>
      <c r="R6" s="42"/>
      <c r="S6" s="40" t="s">
        <v>14</v>
      </c>
      <c r="T6" s="40"/>
      <c r="U6" s="40"/>
      <c r="V6" s="42"/>
      <c r="X6" s="1"/>
      <c r="Y6" s="1"/>
      <c r="Z6" s="1"/>
      <c r="AA6" s="1"/>
      <c r="AB6" s="1"/>
      <c r="AC6" s="1"/>
      <c r="AD6" s="1"/>
      <c r="AE6" s="1"/>
      <c r="AF6" s="110"/>
      <c r="AH6" s="133"/>
      <c r="AI6" s="13"/>
      <c r="AJ6" s="13"/>
      <c r="AK6" s="13"/>
      <c r="AL6" s="13"/>
      <c r="AM6" s="13"/>
      <c r="AN6" s="13"/>
      <c r="AO6" s="133"/>
    </row>
    <row r="7" spans="1:41" ht="12.75">
      <c r="A7" s="26">
        <f>A6+1</f>
        <v>3</v>
      </c>
      <c r="B7" s="124">
        <v>9098.088393664106</v>
      </c>
      <c r="C7" s="124">
        <v>8881.626588179675</v>
      </c>
      <c r="D7" s="56">
        <v>10916.553633739099</v>
      </c>
      <c r="E7" s="56">
        <v>10629.877301051773</v>
      </c>
      <c r="F7" s="125">
        <v>13376.921367784451</v>
      </c>
      <c r="G7" s="126">
        <v>12970.246830234904</v>
      </c>
      <c r="H7" s="127">
        <v>16239.92</v>
      </c>
      <c r="I7" s="127">
        <v>16239.92</v>
      </c>
      <c r="J7" s="128">
        <v>13607.14</v>
      </c>
      <c r="K7" s="128">
        <v>13591.548953363637</v>
      </c>
      <c r="L7" s="129">
        <v>13607.14</v>
      </c>
      <c r="M7" s="129">
        <v>13591.548953363637</v>
      </c>
      <c r="N7" s="130">
        <v>15249.86</v>
      </c>
      <c r="O7" s="130">
        <v>15238.100384272728</v>
      </c>
      <c r="P7" s="131">
        <v>15859.04</v>
      </c>
      <c r="Q7" s="131">
        <v>15348.860384272726</v>
      </c>
      <c r="R7" s="42"/>
      <c r="S7" s="40">
        <v>1</v>
      </c>
      <c r="T7" s="40" t="s">
        <v>15</v>
      </c>
      <c r="U7" s="70">
        <v>6207.12</v>
      </c>
      <c r="V7" s="42"/>
      <c r="X7" s="111" t="s">
        <v>121</v>
      </c>
      <c r="Y7" s="112">
        <v>517.26</v>
      </c>
      <c r="Z7" s="112">
        <v>523.34</v>
      </c>
      <c r="AA7" s="112">
        <v>530.98</v>
      </c>
      <c r="AB7" s="112">
        <v>553.45</v>
      </c>
      <c r="AC7" s="112">
        <v>532.01</v>
      </c>
      <c r="AD7" s="112">
        <v>532.01</v>
      </c>
      <c r="AE7" s="112">
        <v>538.3</v>
      </c>
      <c r="AF7" s="112">
        <v>538.3</v>
      </c>
      <c r="AH7" s="133"/>
      <c r="AI7" s="13"/>
      <c r="AJ7" s="142" t="s">
        <v>306</v>
      </c>
      <c r="AK7" s="143"/>
      <c r="AL7" s="143"/>
      <c r="AM7" s="84"/>
      <c r="AN7" s="13"/>
      <c r="AO7" s="133"/>
    </row>
    <row r="8" spans="1:41" ht="12.75">
      <c r="A8" s="26">
        <f aca="true" t="shared" si="0" ref="A8:A14">A7+1</f>
        <v>4</v>
      </c>
      <c r="B8" s="53">
        <v>9098.088393664106</v>
      </c>
      <c r="C8" s="124">
        <v>8881.626588179675</v>
      </c>
      <c r="D8" s="55">
        <v>10916.553633739099</v>
      </c>
      <c r="E8" s="56">
        <v>10629.877301051773</v>
      </c>
      <c r="F8" s="59">
        <v>13376.921367784451</v>
      </c>
      <c r="G8" s="126">
        <v>12970.246830234904</v>
      </c>
      <c r="H8" s="58">
        <v>16239.92</v>
      </c>
      <c r="I8" s="58">
        <v>16239.92</v>
      </c>
      <c r="J8" s="60">
        <v>13607.14</v>
      </c>
      <c r="K8" s="60">
        <v>13591.548953363637</v>
      </c>
      <c r="L8" s="61">
        <v>13607.14</v>
      </c>
      <c r="M8" s="61">
        <v>13591.548953363637</v>
      </c>
      <c r="N8" s="62">
        <v>15249.86</v>
      </c>
      <c r="O8" s="62">
        <v>15238.100384272728</v>
      </c>
      <c r="P8" s="63">
        <v>15859.04</v>
      </c>
      <c r="Q8" s="63">
        <v>15348.860384272726</v>
      </c>
      <c r="R8" s="42"/>
      <c r="S8" s="40">
        <v>2</v>
      </c>
      <c r="T8" s="40" t="s">
        <v>16</v>
      </c>
      <c r="U8" s="70">
        <v>6280.08</v>
      </c>
      <c r="V8" s="42"/>
      <c r="X8" s="1"/>
      <c r="Y8" s="1"/>
      <c r="Z8" s="1"/>
      <c r="AA8" s="1"/>
      <c r="AB8" s="1"/>
      <c r="AC8" s="1"/>
      <c r="AD8" s="1"/>
      <c r="AE8" s="1"/>
      <c r="AF8" s="113"/>
      <c r="AH8" s="133"/>
      <c r="AI8" s="13"/>
      <c r="AJ8" s="144" t="s">
        <v>142</v>
      </c>
      <c r="AK8" s="144" t="s">
        <v>143</v>
      </c>
      <c r="AL8" s="145" t="s">
        <v>144</v>
      </c>
      <c r="AM8" s="145" t="s">
        <v>145</v>
      </c>
      <c r="AN8" s="13"/>
      <c r="AO8" s="133"/>
    </row>
    <row r="9" spans="1:41" ht="12.75">
      <c r="A9" s="26">
        <f t="shared" si="0"/>
        <v>5</v>
      </c>
      <c r="B9" s="53">
        <v>9098.088393664106</v>
      </c>
      <c r="C9" s="124">
        <v>9253.81449861602</v>
      </c>
      <c r="D9" s="55">
        <v>10916.553633739099</v>
      </c>
      <c r="E9" s="56">
        <v>10629.8773010518</v>
      </c>
      <c r="F9" s="59">
        <v>13376.921367784451</v>
      </c>
      <c r="G9" s="126">
        <v>12970.246830234904</v>
      </c>
      <c r="H9" s="58">
        <v>16239.92</v>
      </c>
      <c r="I9" s="58">
        <v>16239.92</v>
      </c>
      <c r="J9" s="60">
        <v>13607.14</v>
      </c>
      <c r="K9" s="60">
        <v>13591.548953363637</v>
      </c>
      <c r="L9" s="61">
        <v>13607.14</v>
      </c>
      <c r="M9" s="61">
        <v>13591.548953363637</v>
      </c>
      <c r="N9" s="62">
        <v>15249.86</v>
      </c>
      <c r="O9" s="62">
        <v>15238.100384272728</v>
      </c>
      <c r="P9" s="63">
        <v>15859.04</v>
      </c>
      <c r="Q9" s="63">
        <v>15348.860384272726</v>
      </c>
      <c r="R9" s="42"/>
      <c r="S9" s="40">
        <v>3</v>
      </c>
      <c r="T9" s="40" t="s">
        <v>29</v>
      </c>
      <c r="U9" s="70">
        <v>6371.71</v>
      </c>
      <c r="V9" s="42"/>
      <c r="X9" s="22">
        <v>0</v>
      </c>
      <c r="Y9" s="114">
        <f>Y18+$Y$17</f>
        <v>734.0483333333334</v>
      </c>
      <c r="Z9" s="114">
        <f>Z18+$Z$17</f>
        <v>878.4375</v>
      </c>
      <c r="AA9" s="114">
        <f>AA18+$AA$17</f>
        <v>1071.7291666666667</v>
      </c>
      <c r="AB9" s="114">
        <v>1299.7726535039017</v>
      </c>
      <c r="AC9" s="114">
        <f>AC18+$AC$17</f>
        <v>1090.4266666666665</v>
      </c>
      <c r="AD9" s="114">
        <f>AD18+$AD$17</f>
        <v>1090.4266666666665</v>
      </c>
      <c r="AE9" s="114">
        <f>AE18+$AE$17</f>
        <v>1222.5758333333333</v>
      </c>
      <c r="AF9" s="114">
        <f>AF18+$AF$17</f>
        <v>1222.5758333333333</v>
      </c>
      <c r="AH9" s="133"/>
      <c r="AI9" s="13"/>
      <c r="AJ9" s="146"/>
      <c r="AK9" s="146">
        <v>45530</v>
      </c>
      <c r="AL9" s="147">
        <v>1</v>
      </c>
      <c r="AM9" s="146">
        <f>IF(AM4&gt;AK9,AK9,AM4)</f>
        <v>0</v>
      </c>
      <c r="AN9" s="13"/>
      <c r="AO9" s="133"/>
    </row>
    <row r="10" spans="1:41" ht="12.75">
      <c r="A10" s="26">
        <f t="shared" si="0"/>
        <v>6</v>
      </c>
      <c r="B10" s="53">
        <v>9098.088393664106</v>
      </c>
      <c r="C10" s="53">
        <v>9341.534027890099</v>
      </c>
      <c r="D10" s="55">
        <v>10916.5536337391</v>
      </c>
      <c r="E10" s="56">
        <v>11195.549498749378</v>
      </c>
      <c r="F10" s="59">
        <v>13376.921367784451</v>
      </c>
      <c r="G10" s="126">
        <v>13691.930349002283</v>
      </c>
      <c r="H10" s="58">
        <v>16239.92</v>
      </c>
      <c r="I10" s="58">
        <v>16615.020809</v>
      </c>
      <c r="J10" s="60">
        <v>13607.14</v>
      </c>
      <c r="K10" s="60">
        <v>14331.028423</v>
      </c>
      <c r="L10" s="61">
        <v>13607.14</v>
      </c>
      <c r="M10" s="61">
        <v>14331.028423</v>
      </c>
      <c r="N10" s="62">
        <v>15249.86</v>
      </c>
      <c r="O10" s="62">
        <v>16087.099300999998</v>
      </c>
      <c r="P10" s="63">
        <v>15859.04</v>
      </c>
      <c r="Q10" s="63">
        <v>16427.217364999997</v>
      </c>
      <c r="R10" s="42"/>
      <c r="S10" s="40">
        <v>4</v>
      </c>
      <c r="T10" s="40" t="s">
        <v>519</v>
      </c>
      <c r="U10" s="70">
        <v>6641.4</v>
      </c>
      <c r="V10" s="42"/>
      <c r="X10" s="22">
        <v>3</v>
      </c>
      <c r="Y10" s="114">
        <f aca="true" t="shared" si="1" ref="Y10:Y15">Y19+$Y$17</f>
        <v>758.1741666666667</v>
      </c>
      <c r="Z10" s="114">
        <f aca="true" t="shared" si="2" ref="Z10:Z15">Z19+$Z$17</f>
        <v>909.7125000000001</v>
      </c>
      <c r="AA10" s="114">
        <f aca="true" t="shared" si="3" ref="AA10:AA15">AA19+$AA$17</f>
        <v>1114.7433333333333</v>
      </c>
      <c r="AB10" s="114">
        <v>1353.3270610503703</v>
      </c>
      <c r="AC10" s="114">
        <f aca="true" t="shared" si="4" ref="AC10:AC15">AC19+$AC$17</f>
        <v>1133.9291666666666</v>
      </c>
      <c r="AD10" s="114">
        <f aca="true" t="shared" si="5" ref="AD10:AD15">AD19+$AD$17</f>
        <v>1133.9291666666666</v>
      </c>
      <c r="AE10" s="114">
        <f aca="true" t="shared" si="6" ref="AE10:AE15">AE19+$AE$17</f>
        <v>1270.8216666666667</v>
      </c>
      <c r="AF10" s="114">
        <f aca="true" t="shared" si="7" ref="AF10:AF15">AF19+$AF$17</f>
        <v>1321.5866666666666</v>
      </c>
      <c r="AH10" s="133"/>
      <c r="AI10" s="13"/>
      <c r="AJ10" s="146">
        <v>45530.01</v>
      </c>
      <c r="AK10" s="146">
        <v>60554.9</v>
      </c>
      <c r="AL10" s="147">
        <v>0.8</v>
      </c>
      <c r="AM10" s="146">
        <f>IF($AC$6&lt;AK9,0,IF($AC$6&gt;AK10,(AK10-AJ10)*AL10,($AC$6-AK9)*AL10))</f>
        <v>0</v>
      </c>
      <c r="AN10" s="13"/>
      <c r="AO10" s="133"/>
    </row>
    <row r="11" spans="1:41" ht="12.75">
      <c r="A11" s="26">
        <f t="shared" si="0"/>
        <v>7</v>
      </c>
      <c r="B11" s="53">
        <v>9098.088393664106</v>
      </c>
      <c r="C11" s="53">
        <v>9321.647321330618</v>
      </c>
      <c r="D11" s="55">
        <v>10916.553633739099</v>
      </c>
      <c r="E11" s="57">
        <v>11173.397716748568</v>
      </c>
      <c r="F11" s="59">
        <v>13376.921367784451</v>
      </c>
      <c r="G11" s="59">
        <v>13668.290379323156</v>
      </c>
      <c r="H11" s="58">
        <v>16239.92</v>
      </c>
      <c r="I11" s="58">
        <v>16587.277120869567</v>
      </c>
      <c r="J11" s="60">
        <v>13607.14</v>
      </c>
      <c r="K11" s="60">
        <v>13904.843593913045</v>
      </c>
      <c r="L11" s="61">
        <v>13607.14</v>
      </c>
      <c r="M11" s="61">
        <v>13904.843593913045</v>
      </c>
      <c r="N11" s="62">
        <v>15249.86</v>
      </c>
      <c r="O11" s="62">
        <v>15586.35486173913</v>
      </c>
      <c r="P11" s="63">
        <v>15859.04</v>
      </c>
      <c r="Q11" s="63">
        <v>15960.497326086956</v>
      </c>
      <c r="R11" s="42"/>
      <c r="S11" s="40">
        <v>5</v>
      </c>
      <c r="T11" s="40" t="s">
        <v>17</v>
      </c>
      <c r="U11" s="70">
        <v>6384.12</v>
      </c>
      <c r="V11" s="42"/>
      <c r="X11" s="22">
        <v>9</v>
      </c>
      <c r="Y11" s="114">
        <f t="shared" si="1"/>
        <v>845.6183333333333</v>
      </c>
      <c r="Z11" s="114">
        <f t="shared" si="2"/>
        <v>1021.3591666666667</v>
      </c>
      <c r="AA11" s="114">
        <f t="shared" si="3"/>
        <v>1247.2208333333333</v>
      </c>
      <c r="AB11" s="114">
        <v>1519.2801673320355</v>
      </c>
      <c r="AC11" s="114">
        <f t="shared" si="4"/>
        <v>1267.9091666666666</v>
      </c>
      <c r="AD11" s="114">
        <f t="shared" si="5"/>
        <v>1267.9091666666666</v>
      </c>
      <c r="AE11" s="114">
        <f t="shared" si="6"/>
        <v>1428.5366666666664</v>
      </c>
      <c r="AF11" s="114">
        <f t="shared" si="7"/>
        <v>1480.0166666666667</v>
      </c>
      <c r="AH11" s="133"/>
      <c r="AI11" s="13"/>
      <c r="AJ11" s="146">
        <v>60554.91</v>
      </c>
      <c r="AK11" s="146">
        <v>75579.8</v>
      </c>
      <c r="AL11" s="148">
        <v>0.675</v>
      </c>
      <c r="AM11" s="146">
        <f>IF($AC$6&lt;AK10,0,IF($AC$6&gt;AK11,(AK11-AJ11)*AL11,($AC$6-AK10)*AL11))</f>
        <v>0</v>
      </c>
      <c r="AN11" s="13"/>
      <c r="AO11" s="133"/>
    </row>
    <row r="12" spans="1:41" ht="12.75">
      <c r="A12" s="26">
        <f t="shared" si="0"/>
        <v>8</v>
      </c>
      <c r="B12" s="53">
        <v>9098.088393664106</v>
      </c>
      <c r="C12" s="53">
        <v>9439.232628346585</v>
      </c>
      <c r="D12" s="55">
        <v>10916.553633739099</v>
      </c>
      <c r="E12" s="57">
        <v>11316.630255863642</v>
      </c>
      <c r="F12" s="59">
        <v>13376.921367784451</v>
      </c>
      <c r="G12" s="59">
        <v>13847.159204428906</v>
      </c>
      <c r="H12" s="58">
        <v>16239.92</v>
      </c>
      <c r="I12" s="58">
        <v>16806.051032807696</v>
      </c>
      <c r="J12" s="60">
        <v>13607.14</v>
      </c>
      <c r="K12" s="60">
        <v>14086.765630807695</v>
      </c>
      <c r="L12" s="61">
        <v>13607.14</v>
      </c>
      <c r="M12" s="61">
        <v>14086.765630807695</v>
      </c>
      <c r="N12" s="62">
        <v>15249.86</v>
      </c>
      <c r="O12" s="62">
        <v>15790.673150807694</v>
      </c>
      <c r="P12" s="63">
        <v>15859.04</v>
      </c>
      <c r="Q12" s="63">
        <v>16194.985916807695</v>
      </c>
      <c r="R12" s="42"/>
      <c r="S12" s="40">
        <v>6</v>
      </c>
      <c r="T12" s="40" t="s">
        <v>18</v>
      </c>
      <c r="U12" s="70">
        <v>6384.12</v>
      </c>
      <c r="V12" s="43"/>
      <c r="X12" s="22">
        <v>15</v>
      </c>
      <c r="Y12" s="114">
        <f t="shared" si="1"/>
        <v>927.2191666666668</v>
      </c>
      <c r="Z12" s="114">
        <f t="shared" si="2"/>
        <v>1127.1091666666669</v>
      </c>
      <c r="AA12" s="114">
        <f t="shared" si="3"/>
        <v>1401.915</v>
      </c>
      <c r="AB12" s="114">
        <v>1712.951681773031</v>
      </c>
      <c r="AC12" s="114">
        <f t="shared" si="4"/>
        <v>1424.4091666666666</v>
      </c>
      <c r="AD12" s="114">
        <f t="shared" si="5"/>
        <v>1424.4091666666666</v>
      </c>
      <c r="AE12" s="114">
        <f t="shared" si="6"/>
        <v>1610.0816666666665</v>
      </c>
      <c r="AF12" s="114">
        <f t="shared" si="7"/>
        <v>1675.4483333333333</v>
      </c>
      <c r="AH12" s="133"/>
      <c r="AI12" s="13"/>
      <c r="AJ12" s="146">
        <v>75579.81</v>
      </c>
      <c r="AK12" s="146">
        <v>86507</v>
      </c>
      <c r="AL12" s="147">
        <v>0.55</v>
      </c>
      <c r="AM12" s="146">
        <f>IF($AC$6&lt;AK11,0,IF($AC$6&gt;AK12,(AK12-AJ12)*AL12,($AC$6-AK11)*AL12))</f>
        <v>0</v>
      </c>
      <c r="AN12" s="13"/>
      <c r="AO12" s="133"/>
    </row>
    <row r="13" spans="1:41" ht="12.75">
      <c r="A13" s="26">
        <f t="shared" si="0"/>
        <v>9</v>
      </c>
      <c r="B13" s="53">
        <v>10147.420553125337</v>
      </c>
      <c r="C13" s="53">
        <v>9567.134323847433</v>
      </c>
      <c r="D13" s="55">
        <v>12256.307621974209</v>
      </c>
      <c r="E13" s="57">
        <v>11481.948779292155</v>
      </c>
      <c r="F13" s="59">
        <v>14966.651029453536</v>
      </c>
      <c r="G13" s="59">
        <v>14054.170867126068</v>
      </c>
      <c r="H13" s="58">
        <v>18231.36</v>
      </c>
      <c r="I13" s="58">
        <v>17067.12351631035</v>
      </c>
      <c r="J13" s="60">
        <v>15214.9</v>
      </c>
      <c r="K13" s="60">
        <v>14295.989866310347</v>
      </c>
      <c r="L13" s="61">
        <v>15214.9</v>
      </c>
      <c r="M13" s="61">
        <v>14295.989866310347</v>
      </c>
      <c r="N13" s="62">
        <v>17142.44</v>
      </c>
      <c r="O13" s="62">
        <v>16034.376912448275</v>
      </c>
      <c r="P13" s="63">
        <v>17760.2</v>
      </c>
      <c r="Q13" s="63">
        <v>16465.88156237931</v>
      </c>
      <c r="R13" s="42"/>
      <c r="S13" s="40">
        <v>7</v>
      </c>
      <c r="T13" s="40" t="s">
        <v>19</v>
      </c>
      <c r="U13" s="70">
        <v>6459.6</v>
      </c>
      <c r="V13" s="42"/>
      <c r="X13" s="22">
        <v>21</v>
      </c>
      <c r="Y13" s="114">
        <f t="shared" si="1"/>
        <v>1007.5575</v>
      </c>
      <c r="Z13" s="114">
        <f t="shared" si="2"/>
        <v>1233.4950000000001</v>
      </c>
      <c r="AA13" s="114">
        <f t="shared" si="3"/>
        <v>1552.0816666666667</v>
      </c>
      <c r="AB13" s="114">
        <v>1920.1261337692229</v>
      </c>
      <c r="AC13" s="114">
        <f t="shared" si="4"/>
        <v>1576.2924999999998</v>
      </c>
      <c r="AD13" s="114">
        <f t="shared" si="5"/>
        <v>1650.8733333333332</v>
      </c>
      <c r="AE13" s="114">
        <f t="shared" si="6"/>
        <v>1786.3799999999999</v>
      </c>
      <c r="AF13" s="114">
        <f t="shared" si="7"/>
        <v>1924.3866666666665</v>
      </c>
      <c r="AH13" s="133"/>
      <c r="AI13" s="13"/>
      <c r="AJ13" s="146">
        <v>86507</v>
      </c>
      <c r="AK13" s="146">
        <v>0</v>
      </c>
      <c r="AL13" s="147">
        <v>0.45</v>
      </c>
      <c r="AM13" s="146">
        <f>IF($AC$6&lt;AK12,0,($AC$6-AK12)*AL13)</f>
        <v>0</v>
      </c>
      <c r="AN13" s="13"/>
      <c r="AO13" s="133"/>
    </row>
    <row r="14" spans="1:41" ht="12.75">
      <c r="A14" s="26">
        <f t="shared" si="0"/>
        <v>10</v>
      </c>
      <c r="B14" s="53">
        <v>10147.420553125337</v>
      </c>
      <c r="C14" s="53">
        <v>9717.963962343418</v>
      </c>
      <c r="D14" s="55">
        <v>12256.307621974209</v>
      </c>
      <c r="E14" s="57">
        <v>11675.044498460216</v>
      </c>
      <c r="F14" s="59">
        <v>14966.651029453536</v>
      </c>
      <c r="G14" s="59">
        <v>14292.613648151464</v>
      </c>
      <c r="H14" s="58">
        <v>18231.36</v>
      </c>
      <c r="I14" s="58">
        <v>17365.704134500003</v>
      </c>
      <c r="J14" s="60">
        <v>15214.9</v>
      </c>
      <c r="K14" s="60">
        <v>14532.369768968078</v>
      </c>
      <c r="L14" s="61">
        <v>15214.9</v>
      </c>
      <c r="M14" s="61">
        <v>14532.369768968078</v>
      </c>
      <c r="N14" s="62">
        <v>17142.44</v>
      </c>
      <c r="O14" s="62">
        <v>16308.923091693594</v>
      </c>
      <c r="P14" s="63">
        <v>17760.2</v>
      </c>
      <c r="Q14" s="63">
        <v>16795.471554093594</v>
      </c>
      <c r="R14" s="44"/>
      <c r="S14" s="41">
        <v>8</v>
      </c>
      <c r="T14" s="41" t="s">
        <v>20</v>
      </c>
      <c r="U14" s="71">
        <v>6459.6</v>
      </c>
      <c r="V14" s="42"/>
      <c r="X14" s="22">
        <v>28</v>
      </c>
      <c r="Y14" s="114">
        <f t="shared" si="1"/>
        <v>1068.165</v>
      </c>
      <c r="Z14" s="114">
        <f t="shared" si="2"/>
        <v>1309.2625</v>
      </c>
      <c r="AA14" s="114">
        <f t="shared" si="3"/>
        <v>1700.2191666666668</v>
      </c>
      <c r="AB14" s="114">
        <v>2133.014774007069</v>
      </c>
      <c r="AC14" s="114">
        <f t="shared" si="4"/>
        <v>1726.145</v>
      </c>
      <c r="AD14" s="114">
        <f t="shared" si="5"/>
        <v>1799.4758333333332</v>
      </c>
      <c r="AE14" s="114">
        <f t="shared" si="6"/>
        <v>1959.3116666666665</v>
      </c>
      <c r="AF14" s="114">
        <f t="shared" si="7"/>
        <v>2087.48</v>
      </c>
      <c r="AH14" s="133"/>
      <c r="AI14" s="13"/>
      <c r="AJ14" s="149"/>
      <c r="AK14" s="150"/>
      <c r="AL14" s="151"/>
      <c r="AM14" s="152"/>
      <c r="AN14" s="13"/>
      <c r="AO14" s="133"/>
    </row>
    <row r="15" spans="1:41" ht="15">
      <c r="A15" s="26">
        <f aca="true" t="shared" si="8" ref="A15:A47">A14+1</f>
        <v>11</v>
      </c>
      <c r="B15" s="53">
        <v>10147.420553125337</v>
      </c>
      <c r="C15" s="53">
        <v>9857.364503259461</v>
      </c>
      <c r="D15" s="55">
        <v>12256.307621974209</v>
      </c>
      <c r="E15" s="57">
        <v>11853.68052646855</v>
      </c>
      <c r="F15" s="59">
        <v>14966.651029453536</v>
      </c>
      <c r="G15" s="59">
        <v>14512.758503085282</v>
      </c>
      <c r="H15" s="58">
        <v>18231.36</v>
      </c>
      <c r="I15" s="58">
        <v>17641.020664</v>
      </c>
      <c r="J15" s="60">
        <v>15214.9</v>
      </c>
      <c r="K15" s="60">
        <v>14755.011451868077</v>
      </c>
      <c r="L15" s="61">
        <v>15214.9</v>
      </c>
      <c r="M15" s="61">
        <v>14755.011451868077</v>
      </c>
      <c r="N15" s="62">
        <v>17142.44</v>
      </c>
      <c r="O15" s="62">
        <v>16566.901870193593</v>
      </c>
      <c r="P15" s="63">
        <v>17760.2</v>
      </c>
      <c r="Q15" s="63">
        <v>17124.634559993592</v>
      </c>
      <c r="R15" s="19"/>
      <c r="S15" s="19"/>
      <c r="T15" s="19"/>
      <c r="U15" s="19"/>
      <c r="V15" s="42"/>
      <c r="X15" s="22">
        <v>35</v>
      </c>
      <c r="Y15" s="114">
        <f t="shared" si="1"/>
        <v>1110.6391666666666</v>
      </c>
      <c r="Z15" s="114">
        <f t="shared" si="2"/>
        <v>1367.3216666666667</v>
      </c>
      <c r="AA15" s="114">
        <f t="shared" si="3"/>
        <v>1810.5466666666669</v>
      </c>
      <c r="AB15" s="114">
        <v>2340.083149853412</v>
      </c>
      <c r="AC15" s="114">
        <f t="shared" si="4"/>
        <v>1837.7366666666667</v>
      </c>
      <c r="AD15" s="114">
        <f t="shared" si="5"/>
        <v>1912.3616666666667</v>
      </c>
      <c r="AE15" s="114">
        <f t="shared" si="6"/>
        <v>2087.48</v>
      </c>
      <c r="AF15" s="114">
        <f t="shared" si="7"/>
        <v>2217.4883333333337</v>
      </c>
      <c r="AH15" s="133"/>
      <c r="AI15" s="13"/>
      <c r="AJ15" s="106"/>
      <c r="AK15" s="153" t="s">
        <v>149</v>
      </c>
      <c r="AL15" s="84"/>
      <c r="AM15" s="154">
        <f>SUM(AM9:AM13)</f>
        <v>0</v>
      </c>
      <c r="AN15" s="13"/>
      <c r="AO15" s="133"/>
    </row>
    <row r="16" spans="1:41" ht="12.75">
      <c r="A16" s="26">
        <f t="shared" si="8"/>
        <v>12</v>
      </c>
      <c r="B16" s="53">
        <v>10147.420553125337</v>
      </c>
      <c r="C16" s="53">
        <v>9996.090075004895</v>
      </c>
      <c r="D16" s="55">
        <v>12256.307621974209</v>
      </c>
      <c r="E16" s="57">
        <v>12031.442631012631</v>
      </c>
      <c r="F16" s="59">
        <v>14966.651029453536</v>
      </c>
      <c r="G16" s="59">
        <v>14731.698461401227</v>
      </c>
      <c r="H16" s="58">
        <v>18231.36</v>
      </c>
      <c r="I16" s="58">
        <v>17914.8295834</v>
      </c>
      <c r="J16" s="60">
        <v>15214.9</v>
      </c>
      <c r="K16" s="60">
        <v>14976.403311668075</v>
      </c>
      <c r="L16" s="61">
        <v>15214.9</v>
      </c>
      <c r="M16" s="61">
        <v>14976.403311668075</v>
      </c>
      <c r="N16" s="62">
        <v>17142.44</v>
      </c>
      <c r="O16" s="62">
        <v>16823.502364393593</v>
      </c>
      <c r="P16" s="63">
        <v>17760.2</v>
      </c>
      <c r="Q16" s="63">
        <v>17450.959089793592</v>
      </c>
      <c r="R16" s="64"/>
      <c r="S16" s="38" t="s">
        <v>26</v>
      </c>
      <c r="T16" s="38"/>
      <c r="U16" s="38"/>
      <c r="V16" s="42"/>
      <c r="X16" s="22" t="s">
        <v>0</v>
      </c>
      <c r="Y16" s="22" t="s">
        <v>0</v>
      </c>
      <c r="Z16" s="22" t="s">
        <v>0</v>
      </c>
      <c r="AA16" s="22" t="s">
        <v>0</v>
      </c>
      <c r="AB16" s="22" t="s">
        <v>0</v>
      </c>
      <c r="AC16" s="22" t="s">
        <v>0</v>
      </c>
      <c r="AD16" s="22" t="s">
        <v>0</v>
      </c>
      <c r="AE16" s="22" t="s">
        <v>0</v>
      </c>
      <c r="AF16" s="22" t="s">
        <v>0</v>
      </c>
      <c r="AH16" s="133"/>
      <c r="AI16" s="13"/>
      <c r="AJ16" s="13"/>
      <c r="AK16" s="13"/>
      <c r="AL16" s="13"/>
      <c r="AM16" s="13"/>
      <c r="AN16" s="13"/>
      <c r="AO16" s="133"/>
    </row>
    <row r="17" spans="1:41" ht="12.75">
      <c r="A17" s="26">
        <f t="shared" si="8"/>
        <v>13</v>
      </c>
      <c r="B17" s="53">
        <v>10147.420553125337</v>
      </c>
      <c r="C17" s="53">
        <v>10114.699919816809</v>
      </c>
      <c r="D17" s="55">
        <v>12256.307621974209</v>
      </c>
      <c r="E17" s="57">
        <v>12183.102707667438</v>
      </c>
      <c r="F17" s="59">
        <v>14966.651029453536</v>
      </c>
      <c r="G17" s="59">
        <v>14914.436919697511</v>
      </c>
      <c r="H17" s="58">
        <v>18231.36</v>
      </c>
      <c r="I17" s="58">
        <v>18143.58636266667</v>
      </c>
      <c r="J17" s="60">
        <v>15214.9</v>
      </c>
      <c r="K17" s="60">
        <v>15161.072497741778</v>
      </c>
      <c r="L17" s="61">
        <v>15214.9</v>
      </c>
      <c r="M17" s="61">
        <v>15161.072497741778</v>
      </c>
      <c r="N17" s="62">
        <v>17142.44</v>
      </c>
      <c r="O17" s="62">
        <v>17039.503557621934</v>
      </c>
      <c r="P17" s="63">
        <v>17760.2</v>
      </c>
      <c r="Q17" s="63">
        <v>17691.593222178002</v>
      </c>
      <c r="R17" s="42"/>
      <c r="S17" s="40"/>
      <c r="T17" s="46" t="s">
        <v>27</v>
      </c>
      <c r="U17" s="48">
        <f>T28/U11</f>
        <v>1.0699100000000001</v>
      </c>
      <c r="V17" s="42"/>
      <c r="X17" s="145" t="s">
        <v>148</v>
      </c>
      <c r="Y17" s="145">
        <v>9.32</v>
      </c>
      <c r="Z17" s="145">
        <v>10.44</v>
      </c>
      <c r="AA17" s="145">
        <v>11.93</v>
      </c>
      <c r="AB17" s="145">
        <v>13.8</v>
      </c>
      <c r="AC17" s="145">
        <v>12.08</v>
      </c>
      <c r="AD17" s="145">
        <v>12.08</v>
      </c>
      <c r="AE17" s="145">
        <v>13.11</v>
      </c>
      <c r="AF17" s="145">
        <v>13.11</v>
      </c>
      <c r="AH17" s="133"/>
      <c r="AI17" s="13"/>
      <c r="AJ17" s="13"/>
      <c r="AK17" s="13"/>
      <c r="AL17" s="13"/>
      <c r="AM17" s="13"/>
      <c r="AN17" s="13"/>
      <c r="AO17" s="133"/>
    </row>
    <row r="18" spans="1:41" ht="12.75">
      <c r="A18" s="26">
        <f t="shared" si="8"/>
        <v>14</v>
      </c>
      <c r="B18" s="53">
        <v>10147.420553125337</v>
      </c>
      <c r="C18" s="53">
        <v>10224.187237334992</v>
      </c>
      <c r="D18" s="55">
        <v>12256.307621974209</v>
      </c>
      <c r="E18" s="57">
        <v>12322.892638799887</v>
      </c>
      <c r="F18" s="59">
        <v>14966.651029453536</v>
      </c>
      <c r="G18" s="59">
        <v>15080.309312596066</v>
      </c>
      <c r="H18" s="58">
        <v>18231.36</v>
      </c>
      <c r="I18" s="58">
        <v>18351.373212266666</v>
      </c>
      <c r="J18" s="60">
        <v>15214.9</v>
      </c>
      <c r="K18" s="60">
        <v>15328.826176141776</v>
      </c>
      <c r="L18" s="61">
        <v>15214.9</v>
      </c>
      <c r="M18" s="61">
        <v>15330.219940141777</v>
      </c>
      <c r="N18" s="62">
        <v>17142.44</v>
      </c>
      <c r="O18" s="62">
        <v>17236.975354821938</v>
      </c>
      <c r="P18" s="63">
        <v>17760.2</v>
      </c>
      <c r="Q18" s="63">
        <v>17889.960256578004</v>
      </c>
      <c r="R18" s="42"/>
      <c r="S18" s="40">
        <v>1</v>
      </c>
      <c r="T18" s="40" t="s">
        <v>15</v>
      </c>
      <c r="U18" s="50">
        <f>U7*$U$17</f>
        <v>6641.0597592</v>
      </c>
      <c r="V18" s="42"/>
      <c r="X18" s="22">
        <v>0</v>
      </c>
      <c r="Y18" s="114">
        <v>724.7283333333334</v>
      </c>
      <c r="Z18" s="114">
        <v>867.9975</v>
      </c>
      <c r="AA18" s="114">
        <v>1059.7991666666667</v>
      </c>
      <c r="AB18" s="114">
        <v>1285.9726535039017</v>
      </c>
      <c r="AC18" s="114">
        <v>1078.3466666666666</v>
      </c>
      <c r="AD18" s="114">
        <v>1078.3466666666666</v>
      </c>
      <c r="AE18" s="114">
        <v>1209.4658333333334</v>
      </c>
      <c r="AF18" s="114">
        <v>1209.4658333333334</v>
      </c>
      <c r="AH18" s="133"/>
      <c r="AI18" s="133"/>
      <c r="AJ18" s="133"/>
      <c r="AK18" s="133"/>
      <c r="AL18" s="133"/>
      <c r="AM18" s="133"/>
      <c r="AN18" s="133"/>
      <c r="AO18" s="133"/>
    </row>
    <row r="19" spans="1:41" ht="12.75">
      <c r="A19" s="26">
        <f t="shared" si="8"/>
        <v>15</v>
      </c>
      <c r="B19" s="53">
        <v>11126.633082989458</v>
      </c>
      <c r="C19" s="53">
        <v>10403.404558533568</v>
      </c>
      <c r="D19" s="55">
        <v>13525.30552371312</v>
      </c>
      <c r="E19" s="57">
        <v>12552.962986958386</v>
      </c>
      <c r="F19" s="59">
        <v>16822.9771577311</v>
      </c>
      <c r="G19" s="59">
        <v>15376.677234478599</v>
      </c>
      <c r="H19" s="58">
        <v>20555.42</v>
      </c>
      <c r="I19" s="58">
        <v>18722.5411008</v>
      </c>
      <c r="J19" s="60">
        <v>17092.9</v>
      </c>
      <c r="K19" s="60">
        <v>15628.596756941777</v>
      </c>
      <c r="L19" s="61">
        <v>17092.9</v>
      </c>
      <c r="M19" s="61">
        <v>15628.596756941777</v>
      </c>
      <c r="N19" s="62">
        <v>19320.98</v>
      </c>
      <c r="O19" s="62">
        <v>17587.707691221938</v>
      </c>
      <c r="P19" s="63">
        <v>20105.38</v>
      </c>
      <c r="Q19" s="63">
        <v>18252.733542711336</v>
      </c>
      <c r="R19" s="42"/>
      <c r="S19" s="40">
        <v>2</v>
      </c>
      <c r="T19" s="40" t="s">
        <v>16</v>
      </c>
      <c r="U19" s="50">
        <f aca="true" t="shared" si="9" ref="U19:U25">U8*$U$17</f>
        <v>6719.1203928</v>
      </c>
      <c r="V19" s="42"/>
      <c r="X19" s="22">
        <v>3</v>
      </c>
      <c r="Y19" s="114">
        <v>748.8541666666666</v>
      </c>
      <c r="Z19" s="114">
        <v>899.2725</v>
      </c>
      <c r="AA19" s="114">
        <v>1102.8133333333333</v>
      </c>
      <c r="AB19" s="114">
        <v>1339.5270610503703</v>
      </c>
      <c r="AC19" s="114">
        <v>1121.8491666666666</v>
      </c>
      <c r="AD19" s="114">
        <v>1121.8491666666666</v>
      </c>
      <c r="AE19" s="114">
        <v>1257.7116666666668</v>
      </c>
      <c r="AF19" s="114">
        <v>1308.4766666666667</v>
      </c>
      <c r="AH19" s="133"/>
      <c r="AI19" s="133"/>
      <c r="AJ19" s="133"/>
      <c r="AK19" s="133"/>
      <c r="AL19" s="133"/>
      <c r="AM19" s="133"/>
      <c r="AN19" s="133"/>
      <c r="AO19" s="133"/>
    </row>
    <row r="20" spans="1:32" ht="12.75">
      <c r="A20" s="26">
        <f t="shared" si="8"/>
        <v>16</v>
      </c>
      <c r="B20" s="53">
        <v>11126.633082989458</v>
      </c>
      <c r="C20" s="53">
        <v>10619.438639388938</v>
      </c>
      <c r="D20" s="55">
        <v>13525.30552371312</v>
      </c>
      <c r="E20" s="57">
        <v>12830.665486048018</v>
      </c>
      <c r="F20" s="59">
        <v>16822.9771577311</v>
      </c>
      <c r="G20" s="59">
        <v>15741.249818023825</v>
      </c>
      <c r="H20" s="58">
        <v>20555.42</v>
      </c>
      <c r="I20" s="58">
        <v>19179.1035872</v>
      </c>
      <c r="J20" s="60">
        <v>17092.9</v>
      </c>
      <c r="K20" s="60">
        <v>15997.366222541777</v>
      </c>
      <c r="L20" s="61">
        <v>17092.9</v>
      </c>
      <c r="M20" s="61">
        <v>15997.366222541777</v>
      </c>
      <c r="N20" s="62">
        <v>19320.98</v>
      </c>
      <c r="O20" s="62">
        <v>18018.590496021938</v>
      </c>
      <c r="P20" s="63">
        <v>20105.38</v>
      </c>
      <c r="Q20" s="63">
        <v>18701.246112311335</v>
      </c>
      <c r="R20" s="42"/>
      <c r="S20" s="40">
        <v>3</v>
      </c>
      <c r="T20" s="40" t="s">
        <v>21</v>
      </c>
      <c r="U20" s="50">
        <f t="shared" si="9"/>
        <v>6817.156246100001</v>
      </c>
      <c r="V20" s="42"/>
      <c r="X20" s="22">
        <v>9</v>
      </c>
      <c r="Y20" s="114">
        <v>836.2983333333333</v>
      </c>
      <c r="Z20" s="114">
        <v>1010.9191666666667</v>
      </c>
      <c r="AA20" s="114">
        <v>1235.2908333333332</v>
      </c>
      <c r="AB20" s="114">
        <v>1505.4801673320355</v>
      </c>
      <c r="AC20" s="114">
        <v>1255.8291666666667</v>
      </c>
      <c r="AD20" s="114">
        <v>1255.8291666666667</v>
      </c>
      <c r="AE20" s="114">
        <v>1415.4266666666665</v>
      </c>
      <c r="AF20" s="114">
        <v>1466.9066666666668</v>
      </c>
    </row>
    <row r="21" spans="1:32" ht="12.75">
      <c r="A21" s="26">
        <f t="shared" si="8"/>
        <v>17</v>
      </c>
      <c r="B21" s="53">
        <v>11126.633082989458</v>
      </c>
      <c r="C21" s="53">
        <v>10839.463516071824</v>
      </c>
      <c r="D21" s="55">
        <v>13525.30552371312</v>
      </c>
      <c r="E21" s="57">
        <v>13113.482076985629</v>
      </c>
      <c r="F21" s="59">
        <v>16822.9771577311</v>
      </c>
      <c r="G21" s="59">
        <v>16112.24125182632</v>
      </c>
      <c r="H21" s="58">
        <v>20555.42</v>
      </c>
      <c r="I21" s="58">
        <v>19643.705566400004</v>
      </c>
      <c r="J21" s="60">
        <v>17092.9</v>
      </c>
      <c r="K21" s="60">
        <v>16372.627959341777</v>
      </c>
      <c r="L21" s="61">
        <v>17092.9</v>
      </c>
      <c r="M21" s="61">
        <v>16372.627959341777</v>
      </c>
      <c r="N21" s="62">
        <v>19320.98</v>
      </c>
      <c r="O21" s="62">
        <v>18457.083545421938</v>
      </c>
      <c r="P21" s="63">
        <v>20105.38</v>
      </c>
      <c r="Q21" s="63">
        <v>19157.56019111134</v>
      </c>
      <c r="R21" s="42"/>
      <c r="S21" s="40">
        <v>4</v>
      </c>
      <c r="T21" s="40" t="s">
        <v>519</v>
      </c>
      <c r="U21" s="50">
        <f t="shared" si="9"/>
        <v>7105.700274000001</v>
      </c>
      <c r="V21" s="42"/>
      <c r="X21" s="22">
        <v>15</v>
      </c>
      <c r="Y21" s="114">
        <v>917.8991666666667</v>
      </c>
      <c r="Z21" s="114">
        <v>1116.6691666666668</v>
      </c>
      <c r="AA21" s="114">
        <v>1389.985</v>
      </c>
      <c r="AB21" s="114">
        <v>1699.151681773031</v>
      </c>
      <c r="AC21" s="114">
        <v>1412.3291666666667</v>
      </c>
      <c r="AD21" s="114">
        <v>1412.3291666666667</v>
      </c>
      <c r="AE21" s="114">
        <v>1596.9716666666666</v>
      </c>
      <c r="AF21" s="114">
        <v>1662.3383333333334</v>
      </c>
    </row>
    <row r="22" spans="1:32" ht="12.75">
      <c r="A22" s="26">
        <f t="shared" si="8"/>
        <v>18</v>
      </c>
      <c r="B22" s="53">
        <v>11126.633082989458</v>
      </c>
      <c r="C22" s="53">
        <v>11057.02719846566</v>
      </c>
      <c r="D22" s="55">
        <v>13525.30552371312</v>
      </c>
      <c r="E22" s="57">
        <v>13393.164263400298</v>
      </c>
      <c r="F22" s="59">
        <v>16822.9771577311</v>
      </c>
      <c r="G22" s="59">
        <v>16479.50114246907</v>
      </c>
      <c r="H22" s="58">
        <v>20555.42</v>
      </c>
      <c r="I22" s="58">
        <v>20103.640894400003</v>
      </c>
      <c r="J22" s="60">
        <v>17092.9</v>
      </c>
      <c r="K22" s="60">
        <v>16744.038370541777</v>
      </c>
      <c r="L22" s="61">
        <v>17092.9</v>
      </c>
      <c r="M22" s="61">
        <v>16744.038370541777</v>
      </c>
      <c r="N22" s="62">
        <v>19320.98</v>
      </c>
      <c r="O22" s="62">
        <v>18891.04113542194</v>
      </c>
      <c r="P22" s="63">
        <v>20105.38</v>
      </c>
      <c r="Q22" s="63">
        <v>19609.32737031134</v>
      </c>
      <c r="R22" s="42"/>
      <c r="S22" s="40">
        <v>5</v>
      </c>
      <c r="T22" s="40" t="s">
        <v>17</v>
      </c>
      <c r="U22" s="50">
        <f t="shared" si="9"/>
        <v>6830.433829200001</v>
      </c>
      <c r="V22" s="42"/>
      <c r="X22" s="22">
        <v>21</v>
      </c>
      <c r="Y22" s="114">
        <v>998.2375</v>
      </c>
      <c r="Z22" s="114">
        <v>1223.055</v>
      </c>
      <c r="AA22" s="114">
        <v>1540.1516666666666</v>
      </c>
      <c r="AB22" s="114">
        <v>1906.326133769223</v>
      </c>
      <c r="AC22" s="114">
        <v>1564.2124999999999</v>
      </c>
      <c r="AD22" s="114">
        <v>1638.7933333333333</v>
      </c>
      <c r="AE22" s="114">
        <v>1773.27</v>
      </c>
      <c r="AF22" s="114">
        <v>1911.2766666666666</v>
      </c>
    </row>
    <row r="23" spans="1:32" ht="12.75">
      <c r="A23" s="26">
        <f t="shared" si="8"/>
        <v>19</v>
      </c>
      <c r="B23" s="53">
        <v>11126.633082989458</v>
      </c>
      <c r="C23" s="53">
        <v>11198.30157428968</v>
      </c>
      <c r="D23" s="55">
        <v>13525.30552371312</v>
      </c>
      <c r="E23" s="57">
        <v>13575.460006625222</v>
      </c>
      <c r="F23" s="59">
        <v>16822.9771577311</v>
      </c>
      <c r="G23" s="59">
        <v>16731.632611590925</v>
      </c>
      <c r="H23" s="58">
        <v>20555.42</v>
      </c>
      <c r="I23" s="58">
        <v>20419.349171733335</v>
      </c>
      <c r="J23" s="60">
        <v>17092.9</v>
      </c>
      <c r="K23" s="60">
        <v>16998.668552553667</v>
      </c>
      <c r="L23" s="61">
        <v>17092.9</v>
      </c>
      <c r="M23" s="61">
        <v>16998.668552553667</v>
      </c>
      <c r="N23" s="62">
        <v>19320.98</v>
      </c>
      <c r="O23" s="62">
        <v>19187.461426526712</v>
      </c>
      <c r="P23" s="63">
        <v>20105.38</v>
      </c>
      <c r="Q23" s="63">
        <v>19923.141397778363</v>
      </c>
      <c r="R23" s="42"/>
      <c r="S23" s="40">
        <v>6</v>
      </c>
      <c r="T23" s="40" t="s">
        <v>18</v>
      </c>
      <c r="U23" s="50">
        <f t="shared" si="9"/>
        <v>6830.433829200001</v>
      </c>
      <c r="V23" s="43"/>
      <c r="X23" s="22">
        <v>28</v>
      </c>
      <c r="Y23" s="114">
        <v>1058.845</v>
      </c>
      <c r="Z23" s="114">
        <v>1298.8225</v>
      </c>
      <c r="AA23" s="114">
        <v>1688.2891666666667</v>
      </c>
      <c r="AB23" s="114">
        <v>2119.2147740070686</v>
      </c>
      <c r="AC23" s="114">
        <v>1714.065</v>
      </c>
      <c r="AD23" s="114">
        <v>1787.3958333333333</v>
      </c>
      <c r="AE23" s="114">
        <v>1946.2016666666666</v>
      </c>
      <c r="AF23" s="114">
        <v>2074.37</v>
      </c>
    </row>
    <row r="24" spans="1:32" ht="12.75">
      <c r="A24" s="26">
        <f t="shared" si="8"/>
        <v>20</v>
      </c>
      <c r="B24" s="53">
        <v>11126.633082989458</v>
      </c>
      <c r="C24" s="53">
        <v>11300.472609655704</v>
      </c>
      <c r="D24" s="55">
        <v>13525.30552371312</v>
      </c>
      <c r="E24" s="57">
        <v>13707.86724769266</v>
      </c>
      <c r="F24" s="59">
        <v>16822.9771577311</v>
      </c>
      <c r="G24" s="59">
        <v>16925.32167981541</v>
      </c>
      <c r="H24" s="58">
        <v>20555.42</v>
      </c>
      <c r="I24" s="58">
        <v>20661.841592133333</v>
      </c>
      <c r="J24" s="60">
        <v>17092.9</v>
      </c>
      <c r="K24" s="60">
        <v>17194.61907255366</v>
      </c>
      <c r="L24" s="61">
        <v>17092.9</v>
      </c>
      <c r="M24" s="61">
        <v>17194.61907255366</v>
      </c>
      <c r="N24" s="62">
        <v>19320.98</v>
      </c>
      <c r="O24" s="62">
        <v>19414.77029012671</v>
      </c>
      <c r="P24" s="63">
        <v>20105.38</v>
      </c>
      <c r="Q24" s="63">
        <v>20167.837478978363</v>
      </c>
      <c r="R24" s="42"/>
      <c r="S24" s="40">
        <v>7</v>
      </c>
      <c r="T24" s="40" t="s">
        <v>19</v>
      </c>
      <c r="U24" s="50">
        <f t="shared" si="9"/>
        <v>6911.190636000001</v>
      </c>
      <c r="V24" s="42"/>
      <c r="X24" s="22">
        <v>35</v>
      </c>
      <c r="Y24" s="114">
        <v>1101.3191666666667</v>
      </c>
      <c r="Z24" s="114">
        <v>1356.8816666666667</v>
      </c>
      <c r="AA24" s="114">
        <v>1798.6166666666668</v>
      </c>
      <c r="AB24" s="114">
        <v>2326.283149853412</v>
      </c>
      <c r="AC24" s="114">
        <v>1825.6566666666668</v>
      </c>
      <c r="AD24" s="114">
        <v>1900.2816666666668</v>
      </c>
      <c r="AE24" s="114">
        <v>2074.37</v>
      </c>
      <c r="AF24" s="114">
        <v>2204.3783333333336</v>
      </c>
    </row>
    <row r="25" spans="1:22" ht="12.75">
      <c r="A25" s="26">
        <f t="shared" si="8"/>
        <v>21</v>
      </c>
      <c r="B25" s="53">
        <v>12090.69064727543</v>
      </c>
      <c r="C25" s="53">
        <v>11471.06601043408</v>
      </c>
      <c r="D25" s="55">
        <v>14801.940908241106</v>
      </c>
      <c r="E25" s="57">
        <v>13930.76406549867</v>
      </c>
      <c r="F25" s="59">
        <v>18624.975078888787</v>
      </c>
      <c r="G25" s="59">
        <v>17247.01476556763</v>
      </c>
      <c r="H25" s="58">
        <v>23041.51</v>
      </c>
      <c r="I25" s="58">
        <v>21079.92736026667</v>
      </c>
      <c r="J25" s="60">
        <v>18915.5</v>
      </c>
      <c r="K25" s="60">
        <v>17520.038979220328</v>
      </c>
      <c r="L25" s="61">
        <v>19810.47</v>
      </c>
      <c r="M25" s="61">
        <v>17579.703645886995</v>
      </c>
      <c r="N25" s="62">
        <v>21436.56</v>
      </c>
      <c r="O25" s="62">
        <v>19792.354829993375</v>
      </c>
      <c r="P25" s="63">
        <v>23092.64</v>
      </c>
      <c r="Q25" s="63">
        <v>20621.627790045033</v>
      </c>
      <c r="R25" s="44"/>
      <c r="S25" s="41">
        <v>8</v>
      </c>
      <c r="T25" s="41" t="s">
        <v>20</v>
      </c>
      <c r="U25" s="50">
        <f t="shared" si="9"/>
        <v>6911.190636000001</v>
      </c>
      <c r="V25" s="42"/>
    </row>
    <row r="26" spans="1:22" ht="12.75">
      <c r="A26" s="26">
        <f t="shared" si="8"/>
        <v>22</v>
      </c>
      <c r="B26" s="53">
        <v>12090.69064727543</v>
      </c>
      <c r="C26" s="53">
        <v>11677.691929224184</v>
      </c>
      <c r="D26" s="55">
        <v>14801.940908241106</v>
      </c>
      <c r="E26" s="57">
        <v>14201.2660077712</v>
      </c>
      <c r="F26" s="59">
        <v>18624.975078888787</v>
      </c>
      <c r="G26" s="59">
        <v>17636.162626682322</v>
      </c>
      <c r="H26" s="58">
        <v>23041.51</v>
      </c>
      <c r="I26" s="58">
        <v>21590.132553866668</v>
      </c>
      <c r="J26" s="60">
        <v>18915.5</v>
      </c>
      <c r="K26" s="60">
        <v>17913.68665922033</v>
      </c>
      <c r="L26" s="61">
        <v>19810.47</v>
      </c>
      <c r="M26" s="61">
        <v>18062.848325886996</v>
      </c>
      <c r="N26" s="62">
        <v>21436.56</v>
      </c>
      <c r="O26" s="62">
        <v>20249.12929239338</v>
      </c>
      <c r="P26" s="63">
        <v>23092.64</v>
      </c>
      <c r="Q26" s="63">
        <v>21184.32725084503</v>
      </c>
      <c r="R26" s="19"/>
      <c r="S26" s="19"/>
      <c r="T26" s="19"/>
      <c r="U26" s="19"/>
      <c r="V26" s="42"/>
    </row>
    <row r="27" spans="1:22" ht="12.75">
      <c r="A27" s="26">
        <f t="shared" si="8"/>
        <v>23</v>
      </c>
      <c r="B27" s="53">
        <v>12090.69064727543</v>
      </c>
      <c r="C27" s="53">
        <v>11888.092245539285</v>
      </c>
      <c r="D27" s="55">
        <v>14801.940908241106</v>
      </c>
      <c r="E27" s="57">
        <v>14476.68660940625</v>
      </c>
      <c r="F27" s="59">
        <v>18624.975078888787</v>
      </c>
      <c r="G27" s="59">
        <v>18032.44014170633</v>
      </c>
      <c r="H27" s="58">
        <v>23041.51</v>
      </c>
      <c r="I27" s="58">
        <v>22109.493889666668</v>
      </c>
      <c r="J27" s="60">
        <v>18915.5</v>
      </c>
      <c r="K27" s="60">
        <v>18314.54679922033</v>
      </c>
      <c r="L27" s="61">
        <v>19810.47</v>
      </c>
      <c r="M27" s="61">
        <v>18554.100435886998</v>
      </c>
      <c r="N27" s="62">
        <v>21436.56</v>
      </c>
      <c r="O27" s="62">
        <v>20714.271744593378</v>
      </c>
      <c r="P27" s="63">
        <v>23092.64</v>
      </c>
      <c r="Q27" s="63">
        <v>21756.744638245033</v>
      </c>
      <c r="R27" s="42"/>
      <c r="S27" s="40" t="s">
        <v>517</v>
      </c>
      <c r="T27" s="40"/>
      <c r="U27" s="40"/>
      <c r="V27" s="42"/>
    </row>
    <row r="28" spans="1:22" ht="12.75">
      <c r="A28" s="26">
        <f t="shared" si="8"/>
        <v>24</v>
      </c>
      <c r="B28" s="53">
        <v>12090.69064727543</v>
      </c>
      <c r="C28" s="53">
        <v>12096.204517487618</v>
      </c>
      <c r="D28" s="55">
        <v>14801.940908241106</v>
      </c>
      <c r="E28" s="57">
        <v>14749.130629749687</v>
      </c>
      <c r="F28" s="59">
        <v>18624.975078888787</v>
      </c>
      <c r="G28" s="59">
        <v>18424.379128680474</v>
      </c>
      <c r="H28" s="58">
        <v>23041.51</v>
      </c>
      <c r="I28" s="58">
        <v>22623.414537666664</v>
      </c>
      <c r="J28" s="60">
        <v>18915.5</v>
      </c>
      <c r="K28" s="60">
        <v>18710.913476820333</v>
      </c>
      <c r="L28" s="61">
        <v>19810.47</v>
      </c>
      <c r="M28" s="61">
        <v>19040.859083487</v>
      </c>
      <c r="N28" s="62">
        <v>21436.56</v>
      </c>
      <c r="O28" s="62">
        <v>21174.21091219338</v>
      </c>
      <c r="P28" s="63">
        <v>23092.64</v>
      </c>
      <c r="Q28" s="63">
        <v>22323.551237845037</v>
      </c>
      <c r="R28" s="42"/>
      <c r="S28" s="40"/>
      <c r="T28" s="40">
        <f>SUM(T30:T40)/120</f>
        <v>6830.4338292</v>
      </c>
      <c r="U28" s="47"/>
      <c r="V28" s="42"/>
    </row>
    <row r="29" spans="1:25" ht="12.75">
      <c r="A29" s="26">
        <f t="shared" si="8"/>
        <v>25</v>
      </c>
      <c r="B29" s="53">
        <v>12090.69064727543</v>
      </c>
      <c r="C29" s="53">
        <v>12233.180035991372</v>
      </c>
      <c r="D29" s="55">
        <v>14801.940908241106</v>
      </c>
      <c r="E29" s="57">
        <v>14929.426075737314</v>
      </c>
      <c r="F29" s="59">
        <v>18624.975078888787</v>
      </c>
      <c r="G29" s="59">
        <v>18681.431717703865</v>
      </c>
      <c r="H29" s="58">
        <v>23041.51</v>
      </c>
      <c r="I29" s="58">
        <v>22968.743724333333</v>
      </c>
      <c r="J29" s="60">
        <v>18915.5</v>
      </c>
      <c r="K29" s="60">
        <v>18970.4139263014</v>
      </c>
      <c r="L29" s="61">
        <v>19810.47</v>
      </c>
      <c r="M29" s="61">
        <v>19391.825466968065</v>
      </c>
      <c r="N29" s="62">
        <v>21436.56</v>
      </c>
      <c r="O29" s="62">
        <v>21475.408110411514</v>
      </c>
      <c r="P29" s="63">
        <v>23092.64</v>
      </c>
      <c r="Q29" s="63">
        <v>22720.301730005813</v>
      </c>
      <c r="R29" s="42"/>
      <c r="S29" s="215"/>
      <c r="T29" s="40"/>
      <c r="U29" s="47"/>
      <c r="V29" s="42"/>
      <c r="Y29" s="66"/>
    </row>
    <row r="30" spans="1:25" ht="12.75">
      <c r="A30" s="26">
        <f t="shared" si="8"/>
        <v>26</v>
      </c>
      <c r="B30" s="53">
        <v>12090.69064727543</v>
      </c>
      <c r="C30" s="53">
        <v>12333.769802248971</v>
      </c>
      <c r="D30" s="55">
        <v>14801.940908241106</v>
      </c>
      <c r="E30" s="57">
        <v>15062.630211758962</v>
      </c>
      <c r="F30" s="59">
        <v>18624.975078888787</v>
      </c>
      <c r="G30" s="59">
        <v>18869.452180797456</v>
      </c>
      <c r="H30" s="58">
        <v>23041.51</v>
      </c>
      <c r="I30" s="58">
        <v>23228.14235493333</v>
      </c>
      <c r="J30" s="60">
        <v>18915.5</v>
      </c>
      <c r="K30" s="60">
        <v>19160.5840103014</v>
      </c>
      <c r="L30" s="61">
        <v>19810.47</v>
      </c>
      <c r="M30" s="61">
        <v>19675.376720768065</v>
      </c>
      <c r="N30" s="62">
        <v>21436.56</v>
      </c>
      <c r="O30" s="62">
        <v>21696.14772761152</v>
      </c>
      <c r="P30" s="63">
        <v>23092.64</v>
      </c>
      <c r="Q30" s="63">
        <v>23031.992438405814</v>
      </c>
      <c r="R30" s="42"/>
      <c r="S30" s="40">
        <v>2007</v>
      </c>
      <c r="T30" s="49">
        <f>$U$11*U30*4</f>
        <v>31220.900447999997</v>
      </c>
      <c r="U30" s="47">
        <v>1.2226</v>
      </c>
      <c r="V30" s="42"/>
      <c r="Y30" s="66"/>
    </row>
    <row r="31" spans="1:25" ht="12.75">
      <c r="A31" s="26">
        <f t="shared" si="8"/>
        <v>27</v>
      </c>
      <c r="B31" s="53">
        <v>12090.69064727543</v>
      </c>
      <c r="C31" s="53">
        <v>12438.447172579143</v>
      </c>
      <c r="D31" s="55">
        <v>14801.940908241106</v>
      </c>
      <c r="E31" s="57">
        <v>15201.247281811013</v>
      </c>
      <c r="F31" s="59">
        <v>18624.975078888787</v>
      </c>
      <c r="G31" s="59">
        <v>19065.113115076754</v>
      </c>
      <c r="H31" s="58">
        <v>23041.51</v>
      </c>
      <c r="I31" s="58">
        <v>23498.082007133333</v>
      </c>
      <c r="J31" s="60">
        <v>18915.5</v>
      </c>
      <c r="K31" s="60">
        <v>19358.4819183014</v>
      </c>
      <c r="L31" s="61">
        <v>19810.47</v>
      </c>
      <c r="M31" s="61">
        <v>19970.45047136807</v>
      </c>
      <c r="N31" s="62">
        <v>21436.56</v>
      </c>
      <c r="O31" s="62">
        <v>21925.857404011516</v>
      </c>
      <c r="P31" s="63">
        <v>23092.64</v>
      </c>
      <c r="Q31" s="63">
        <v>23356.349129205813</v>
      </c>
      <c r="R31" s="42"/>
      <c r="S31" s="40">
        <v>2008</v>
      </c>
      <c r="T31" s="49">
        <f aca="true" t="shared" si="10" ref="T31:T36">$U$11*U31*12</f>
        <v>89924.160672</v>
      </c>
      <c r="U31" s="47">
        <v>1.1738</v>
      </c>
      <c r="V31" s="42"/>
      <c r="Y31" s="66"/>
    </row>
    <row r="32" spans="1:25" ht="12.75">
      <c r="A32" s="26">
        <f t="shared" si="8"/>
        <v>28</v>
      </c>
      <c r="B32" s="53">
        <v>12817.981676109222</v>
      </c>
      <c r="C32" s="53">
        <v>12595.447560604089</v>
      </c>
      <c r="D32" s="55">
        <v>15711.153808508112</v>
      </c>
      <c r="E32" s="57">
        <v>15405.559554044616</v>
      </c>
      <c r="F32" s="59">
        <v>20402.63118098199</v>
      </c>
      <c r="G32" s="59">
        <v>19386.456407888483</v>
      </c>
      <c r="H32" s="58">
        <v>25596.179999999997</v>
      </c>
      <c r="I32" s="58">
        <v>23948.227630866666</v>
      </c>
      <c r="J32" s="60">
        <v>20713.73</v>
      </c>
      <c r="K32" s="60">
        <v>19683.515774301402</v>
      </c>
      <c r="L32" s="61">
        <v>21593.7</v>
      </c>
      <c r="M32" s="61">
        <v>20395.22215056807</v>
      </c>
      <c r="N32" s="62">
        <v>23511.74</v>
      </c>
      <c r="O32" s="62">
        <v>22302.33242214485</v>
      </c>
      <c r="P32" s="63">
        <v>25049.76</v>
      </c>
      <c r="Q32" s="63">
        <v>23823.06978147248</v>
      </c>
      <c r="R32" s="42"/>
      <c r="S32" s="40">
        <v>2009</v>
      </c>
      <c r="T32" s="49">
        <f t="shared" si="10"/>
        <v>88430.27659200001</v>
      </c>
      <c r="U32" s="47">
        <v>1.1543</v>
      </c>
      <c r="V32" s="43"/>
      <c r="Y32" s="66"/>
    </row>
    <row r="33" spans="1:25" ht="12.75">
      <c r="A33" s="26">
        <f t="shared" si="8"/>
        <v>29</v>
      </c>
      <c r="B33" s="53">
        <v>12817.981676109222</v>
      </c>
      <c r="C33" s="53">
        <v>12779.457828133</v>
      </c>
      <c r="D33" s="55">
        <v>15711.153808508112</v>
      </c>
      <c r="E33" s="57">
        <v>15643.842866507382</v>
      </c>
      <c r="F33" s="59">
        <v>20402.63118098199</v>
      </c>
      <c r="G33" s="59">
        <v>19772.226638137032</v>
      </c>
      <c r="H33" s="58">
        <v>25596.179999999997</v>
      </c>
      <c r="I33" s="58">
        <v>24490.663999566666</v>
      </c>
      <c r="J33" s="60">
        <v>20713.73</v>
      </c>
      <c r="K33" s="60">
        <v>20073.7214923014</v>
      </c>
      <c r="L33" s="61">
        <v>21593.7</v>
      </c>
      <c r="M33" s="61">
        <v>20887.23425566807</v>
      </c>
      <c r="N33" s="62">
        <v>23511.74</v>
      </c>
      <c r="O33" s="62">
        <v>22754.051821544846</v>
      </c>
      <c r="P33" s="63">
        <v>25049.76</v>
      </c>
      <c r="Q33" s="63">
        <v>24363.601203272476</v>
      </c>
      <c r="R33" s="42"/>
      <c r="S33" s="40">
        <v>2010</v>
      </c>
      <c r="T33" s="49">
        <f t="shared" si="10"/>
        <v>86231.585664</v>
      </c>
      <c r="U33" s="47">
        <v>1.1256</v>
      </c>
      <c r="V33" s="42"/>
      <c r="Y33" s="66"/>
    </row>
    <row r="34" spans="1:25" ht="12.75">
      <c r="A34" s="26">
        <f t="shared" si="8"/>
        <v>30</v>
      </c>
      <c r="B34" s="53">
        <v>12817.981676109222</v>
      </c>
      <c r="C34" s="53">
        <v>12961.934132541097</v>
      </c>
      <c r="D34" s="55">
        <v>15711.153808508112</v>
      </c>
      <c r="E34" s="57">
        <v>15880.045532470247</v>
      </c>
      <c r="F34" s="59">
        <v>20402.63118098199</v>
      </c>
      <c r="G34" s="59">
        <v>20155.555426033934</v>
      </c>
      <c r="H34" s="58">
        <v>25596.179999999997</v>
      </c>
      <c r="I34" s="58">
        <v>25029.840114566665</v>
      </c>
      <c r="J34" s="60">
        <v>20713.73</v>
      </c>
      <c r="K34" s="60">
        <v>20461.3634031014</v>
      </c>
      <c r="L34" s="61">
        <v>21593.7</v>
      </c>
      <c r="M34" s="61">
        <v>21374.525119468068</v>
      </c>
      <c r="N34" s="62">
        <v>23511.74</v>
      </c>
      <c r="O34" s="62">
        <v>23202.77388514485</v>
      </c>
      <c r="P34" s="63">
        <v>25049.76</v>
      </c>
      <c r="Q34" s="63">
        <v>24898.942064472478</v>
      </c>
      <c r="R34" s="44"/>
      <c r="S34" s="40">
        <v>2011</v>
      </c>
      <c r="T34" s="49">
        <f t="shared" si="10"/>
        <v>83182.529952</v>
      </c>
      <c r="U34" s="47">
        <v>1.0858</v>
      </c>
      <c r="V34" s="42"/>
      <c r="Y34" s="66"/>
    </row>
    <row r="35" spans="1:25" ht="12.75">
      <c r="A35" s="26">
        <f t="shared" si="8"/>
        <v>31</v>
      </c>
      <c r="B35" s="53">
        <v>12817.981676109222</v>
      </c>
      <c r="C35" s="53">
        <v>13073.241308123177</v>
      </c>
      <c r="D35" s="55">
        <v>15711.153808508112</v>
      </c>
      <c r="E35" s="57">
        <v>16022.000817168011</v>
      </c>
      <c r="F35" s="59">
        <v>20402.63118098199</v>
      </c>
      <c r="G35" s="59">
        <v>20405.85128469226</v>
      </c>
      <c r="H35" s="58">
        <v>25596.179999999997</v>
      </c>
      <c r="I35" s="58">
        <v>25385.47620623333</v>
      </c>
      <c r="J35" s="60">
        <v>20713.73</v>
      </c>
      <c r="K35" s="60">
        <v>20714.059991848313</v>
      </c>
      <c r="L35" s="61">
        <v>21593.7</v>
      </c>
      <c r="M35" s="61">
        <v>21660.604239144257</v>
      </c>
      <c r="N35" s="62">
        <v>23511.74</v>
      </c>
      <c r="O35" s="62">
        <v>23494.854535606737</v>
      </c>
      <c r="P35" s="63">
        <v>25049.76</v>
      </c>
      <c r="Q35" s="63">
        <v>25213.10006467769</v>
      </c>
      <c r="R35" s="42"/>
      <c r="S35" s="40">
        <v>2012</v>
      </c>
      <c r="T35" s="49">
        <f t="shared" si="10"/>
        <v>79934.289696</v>
      </c>
      <c r="U35" s="47">
        <v>1.0434</v>
      </c>
      <c r="V35" s="42"/>
      <c r="Y35" s="66"/>
    </row>
    <row r="36" spans="1:25" ht="12.75">
      <c r="A36" s="26">
        <f t="shared" si="8"/>
        <v>32</v>
      </c>
      <c r="B36" s="53">
        <v>12817.981676109222</v>
      </c>
      <c r="C36" s="53">
        <v>13147.570451269992</v>
      </c>
      <c r="D36" s="55">
        <v>15711.153808508112</v>
      </c>
      <c r="E36" s="57">
        <v>16114.922375575297</v>
      </c>
      <c r="F36" s="59">
        <v>20402.63118098199</v>
      </c>
      <c r="G36" s="59">
        <v>20587.527738326185</v>
      </c>
      <c r="H36" s="58">
        <v>25596.179999999997</v>
      </c>
      <c r="I36" s="58">
        <v>25646.56348023333</v>
      </c>
      <c r="J36" s="60">
        <v>20713.73</v>
      </c>
      <c r="K36" s="60">
        <v>20897.83909784832</v>
      </c>
      <c r="L36" s="61">
        <v>21593.7</v>
      </c>
      <c r="M36" s="61">
        <v>21842.85034514426</v>
      </c>
      <c r="N36" s="62">
        <v>23511.74</v>
      </c>
      <c r="O36" s="62">
        <v>23706.93793160674</v>
      </c>
      <c r="P36" s="63">
        <v>25049.76</v>
      </c>
      <c r="Q36" s="63">
        <v>25413.117728677687</v>
      </c>
      <c r="R36" s="42"/>
      <c r="S36" s="40">
        <v>2013</v>
      </c>
      <c r="T36" s="49">
        <f t="shared" si="10"/>
        <v>78294.84768</v>
      </c>
      <c r="U36" s="47">
        <v>1.022</v>
      </c>
      <c r="V36" s="43"/>
      <c r="Y36" s="66"/>
    </row>
    <row r="37" spans="1:25" ht="12.75">
      <c r="A37" s="26">
        <f t="shared" si="8"/>
        <v>33</v>
      </c>
      <c r="B37" s="53">
        <v>12817.981676109222</v>
      </c>
      <c r="C37" s="53">
        <v>13223.455997218512</v>
      </c>
      <c r="D37" s="55">
        <v>15711.153808508112</v>
      </c>
      <c r="E37" s="57">
        <v>16209.789649589158</v>
      </c>
      <c r="F37" s="59">
        <v>20402.63118098199</v>
      </c>
      <c r="G37" s="59">
        <v>20773.008376018595</v>
      </c>
      <c r="H37" s="58">
        <v>25596.179999999997</v>
      </c>
      <c r="I37" s="58">
        <v>25913.11774803333</v>
      </c>
      <c r="J37" s="60">
        <v>20713.73</v>
      </c>
      <c r="K37" s="60">
        <v>21085.46641604831</v>
      </c>
      <c r="L37" s="61">
        <v>21593.7</v>
      </c>
      <c r="M37" s="61">
        <v>22028.912563344256</v>
      </c>
      <c r="N37" s="62">
        <v>23511.74</v>
      </c>
      <c r="O37" s="62">
        <v>23923.46221280674</v>
      </c>
      <c r="P37" s="63">
        <v>25049.76</v>
      </c>
      <c r="Q37" s="63">
        <v>25617.323629477687</v>
      </c>
      <c r="R37" s="44"/>
      <c r="S37" s="40">
        <v>2014</v>
      </c>
      <c r="T37" s="49">
        <f>$U$11*U37*12</f>
        <v>77375.5344</v>
      </c>
      <c r="U37" s="47">
        <v>1.01</v>
      </c>
      <c r="V37" s="42"/>
      <c r="Y37" s="66"/>
    </row>
    <row r="38" spans="1:25" ht="12.75">
      <c r="A38" s="26">
        <f t="shared" si="8"/>
        <v>34</v>
      </c>
      <c r="B38" s="53">
        <v>12817.981676109222</v>
      </c>
      <c r="C38" s="53">
        <v>13302.425257129282</v>
      </c>
      <c r="D38" s="55">
        <v>15711.153808508112</v>
      </c>
      <c r="E38" s="57">
        <v>16308.511986300151</v>
      </c>
      <c r="F38" s="59">
        <v>20402.63118098199</v>
      </c>
      <c r="G38" s="59">
        <v>20966.026275583874</v>
      </c>
      <c r="H38" s="58">
        <v>25596.179999999997</v>
      </c>
      <c r="I38" s="58">
        <v>26190.50381663333</v>
      </c>
      <c r="J38" s="60">
        <v>20713.73</v>
      </c>
      <c r="K38" s="60">
        <v>21280.718229448314</v>
      </c>
      <c r="L38" s="61">
        <v>21593.7</v>
      </c>
      <c r="M38" s="61">
        <v>22222.535676744257</v>
      </c>
      <c r="N38" s="62">
        <v>23511.74</v>
      </c>
      <c r="O38" s="62">
        <v>24148.785257206742</v>
      </c>
      <c r="P38" s="63">
        <v>25049.76</v>
      </c>
      <c r="Q38" s="63">
        <v>25829.827719077686</v>
      </c>
      <c r="R38" s="44"/>
      <c r="S38" s="40">
        <v>2015</v>
      </c>
      <c r="T38" s="49">
        <f>$U$11*U38*12</f>
        <v>77375.5344</v>
      </c>
      <c r="U38" s="47">
        <v>1.01</v>
      </c>
      <c r="V38" s="42"/>
      <c r="Y38" s="66"/>
    </row>
    <row r="39" spans="1:25" ht="12.75">
      <c r="A39" s="26">
        <f t="shared" si="8"/>
        <v>35</v>
      </c>
      <c r="B39" s="53">
        <v>13327.67279026169</v>
      </c>
      <c r="C39" s="53">
        <v>13418.268542944978</v>
      </c>
      <c r="D39" s="55">
        <v>16407.858449286512</v>
      </c>
      <c r="E39" s="57">
        <v>16457.2999664061</v>
      </c>
      <c r="F39" s="59">
        <v>21726.557289840777</v>
      </c>
      <c r="G39" s="59">
        <v>21254.38098702607</v>
      </c>
      <c r="H39" s="58">
        <v>28080.999999999996</v>
      </c>
      <c r="I39" s="58">
        <v>26643.7121385</v>
      </c>
      <c r="J39" s="60">
        <v>22052.83</v>
      </c>
      <c r="K39" s="60">
        <v>21572.40033158165</v>
      </c>
      <c r="L39" s="61">
        <v>22948.33</v>
      </c>
      <c r="M39" s="61">
        <v>22513.564712210922</v>
      </c>
      <c r="N39" s="62">
        <v>25049.76</v>
      </c>
      <c r="O39" s="62">
        <v>24484.902184673407</v>
      </c>
      <c r="P39" s="63">
        <v>26609.86</v>
      </c>
      <c r="Q39" s="63">
        <v>26154.127812944353</v>
      </c>
      <c r="R39" s="19"/>
      <c r="S39" s="40">
        <v>2016</v>
      </c>
      <c r="T39" s="49">
        <f>$U$11*U39*12</f>
        <v>76609.44</v>
      </c>
      <c r="U39" s="47">
        <v>1</v>
      </c>
      <c r="V39" s="42"/>
      <c r="Y39" s="66"/>
    </row>
    <row r="40" spans="1:25" ht="12.75">
      <c r="A40" s="26">
        <f t="shared" si="8"/>
        <v>36</v>
      </c>
      <c r="B40" s="53">
        <v>13327.67279026169</v>
      </c>
      <c r="C40" s="53">
        <v>13553.188857818512</v>
      </c>
      <c r="D40" s="55">
        <v>16407.858449286512</v>
      </c>
      <c r="E40" s="57">
        <v>16631.92087556176</v>
      </c>
      <c r="F40" s="59">
        <v>21726.557289840777</v>
      </c>
      <c r="G40" s="59">
        <v>21591.968441776567</v>
      </c>
      <c r="H40" s="58">
        <v>28080.999999999996</v>
      </c>
      <c r="I40" s="58">
        <v>27187.079696599994</v>
      </c>
      <c r="J40" s="60">
        <v>22052.83</v>
      </c>
      <c r="K40" s="60">
        <v>21913.880020481647</v>
      </c>
      <c r="L40" s="61">
        <v>22948.33</v>
      </c>
      <c r="M40" s="61">
        <v>22854.86595111092</v>
      </c>
      <c r="N40" s="62">
        <v>25049.76</v>
      </c>
      <c r="O40" s="62">
        <v>24878.24221207341</v>
      </c>
      <c r="P40" s="63">
        <v>26609.86</v>
      </c>
      <c r="Q40" s="63">
        <v>26536.04817454435</v>
      </c>
      <c r="R40" s="19"/>
      <c r="S40" s="40">
        <v>2017</v>
      </c>
      <c r="T40" s="49">
        <f>$U$11*U40*8</f>
        <v>51072.96</v>
      </c>
      <c r="U40" s="47">
        <v>1</v>
      </c>
      <c r="V40" s="42"/>
      <c r="Y40" s="66"/>
    </row>
    <row r="41" spans="1:25" ht="12.75">
      <c r="A41" s="26">
        <f t="shared" si="8"/>
        <v>37</v>
      </c>
      <c r="B41" s="53">
        <v>13327.67279026169</v>
      </c>
      <c r="C41" s="53">
        <v>13686.924163712421</v>
      </c>
      <c r="D41" s="55">
        <v>16407.858449286512</v>
      </c>
      <c r="E41" s="57">
        <v>16805.10974331372</v>
      </c>
      <c r="F41" s="59">
        <v>21726.557289840777</v>
      </c>
      <c r="G41" s="59">
        <v>21926.711856835</v>
      </c>
      <c r="H41" s="58">
        <v>28080.999999999996</v>
      </c>
      <c r="I41" s="58">
        <v>27726.940998799997</v>
      </c>
      <c r="J41" s="60">
        <v>22052.83</v>
      </c>
      <c r="K41" s="60">
        <v>22252.40193548165</v>
      </c>
      <c r="L41" s="61">
        <v>22948.33</v>
      </c>
      <c r="M41" s="61">
        <v>23193.252038510924</v>
      </c>
      <c r="N41" s="62">
        <v>25049.76</v>
      </c>
      <c r="O41" s="62">
        <v>25268.15207647341</v>
      </c>
      <c r="P41" s="63">
        <v>26609.86</v>
      </c>
      <c r="Q41" s="63">
        <v>26914.837317744346</v>
      </c>
      <c r="R41" s="19"/>
      <c r="S41" s="19"/>
      <c r="T41" s="19"/>
      <c r="U41" s="19"/>
      <c r="V41" s="42"/>
      <c r="Y41" s="66"/>
    </row>
    <row r="42" spans="1:20" ht="12.75">
      <c r="A42" s="26">
        <f t="shared" si="8"/>
        <v>38</v>
      </c>
      <c r="B42" s="53">
        <v>13327.67279026169</v>
      </c>
      <c r="C42" s="53">
        <v>13766.961721570227</v>
      </c>
      <c r="D42" s="55">
        <v>16407.858449286512</v>
      </c>
      <c r="E42" s="57">
        <v>16911.175727627884</v>
      </c>
      <c r="F42" s="59">
        <v>21726.557289840777</v>
      </c>
      <c r="G42" s="59">
        <v>22130.223208710377</v>
      </c>
      <c r="H42" s="58">
        <v>28080.999999999996</v>
      </c>
      <c r="I42" s="58">
        <v>28078.209515266662</v>
      </c>
      <c r="J42" s="60">
        <v>22052.83</v>
      </c>
      <c r="K42" s="60">
        <v>22457.773507162285</v>
      </c>
      <c r="L42" s="61">
        <v>22948.33</v>
      </c>
      <c r="M42" s="61">
        <v>23399.608757627702</v>
      </c>
      <c r="N42" s="62">
        <v>25049.76</v>
      </c>
      <c r="O42" s="62">
        <v>25504.417359565</v>
      </c>
      <c r="P42" s="63">
        <v>26609.86</v>
      </c>
      <c r="Q42" s="63">
        <v>27148.720467285693</v>
      </c>
      <c r="T42" s="2" t="s">
        <v>590</v>
      </c>
    </row>
    <row r="43" spans="1:20" ht="12.75">
      <c r="A43" s="26">
        <f t="shared" si="8"/>
        <v>39</v>
      </c>
      <c r="B43" s="53">
        <v>13327.67279026169</v>
      </c>
      <c r="C43" s="53">
        <v>13819.05215343661</v>
      </c>
      <c r="D43" s="55">
        <v>16407.858449286512</v>
      </c>
      <c r="E43" s="57">
        <v>16982.37894191544</v>
      </c>
      <c r="F43" s="59">
        <v>21726.557289840777</v>
      </c>
      <c r="G43" s="59">
        <v>22265.528457035743</v>
      </c>
      <c r="H43" s="58">
        <v>28080.999999999996</v>
      </c>
      <c r="I43" s="58">
        <v>28332.15811926666</v>
      </c>
      <c r="J43" s="60">
        <v>22052.83</v>
      </c>
      <c r="K43" s="60">
        <v>22594.629527162288</v>
      </c>
      <c r="L43" s="61">
        <v>22948.33</v>
      </c>
      <c r="M43" s="61">
        <v>23538.051943627703</v>
      </c>
      <c r="N43" s="62">
        <v>25049.76</v>
      </c>
      <c r="O43" s="62">
        <v>25661.603003565</v>
      </c>
      <c r="P43" s="63">
        <v>26609.86</v>
      </c>
      <c r="Q43" s="63">
        <v>27308.16268728569</v>
      </c>
      <c r="T43" s="6"/>
    </row>
    <row r="44" spans="1:20" ht="12.75">
      <c r="A44" s="26">
        <f t="shared" si="8"/>
        <v>40</v>
      </c>
      <c r="B44" s="53">
        <v>13327.67279026169</v>
      </c>
      <c r="C44" s="53">
        <v>13872.233324287277</v>
      </c>
      <c r="D44" s="55">
        <v>16407.858449286512</v>
      </c>
      <c r="E44" s="57">
        <v>17055.073104134255</v>
      </c>
      <c r="F44" s="59">
        <v>21726.557289840777</v>
      </c>
      <c r="G44" s="59">
        <v>22403.66690723407</v>
      </c>
      <c r="H44" s="58">
        <v>28080.999999999996</v>
      </c>
      <c r="I44" s="58">
        <v>28591.424238066662</v>
      </c>
      <c r="J44" s="60">
        <v>22052.83</v>
      </c>
      <c r="K44" s="60">
        <v>22734.351221162287</v>
      </c>
      <c r="L44" s="61">
        <v>22948.33</v>
      </c>
      <c r="M44" s="61">
        <v>23679.3940378277</v>
      </c>
      <c r="N44" s="62">
        <v>25049.76</v>
      </c>
      <c r="O44" s="62">
        <v>25822.080010365</v>
      </c>
      <c r="P44" s="63">
        <v>26609.86</v>
      </c>
      <c r="Q44" s="63">
        <v>27470.943521285688</v>
      </c>
      <c r="T44" s="6"/>
    </row>
    <row r="45" spans="1:17" ht="12.75">
      <c r="A45" s="26">
        <f t="shared" si="8"/>
        <v>41</v>
      </c>
      <c r="B45" s="53">
        <v>13327.67279026169</v>
      </c>
      <c r="C45" s="53">
        <v>13927.575585461953</v>
      </c>
      <c r="D45" s="55">
        <v>16407.858449286512</v>
      </c>
      <c r="E45" s="57">
        <v>17130.721294029976</v>
      </c>
      <c r="F45" s="59">
        <v>21726.557289840777</v>
      </c>
      <c r="G45" s="59">
        <v>22547.41880413396</v>
      </c>
      <c r="H45" s="58">
        <v>28080.999999999996</v>
      </c>
      <c r="I45" s="58">
        <v>28861.22599366666</v>
      </c>
      <c r="J45" s="60">
        <v>22052.83</v>
      </c>
      <c r="K45" s="60">
        <v>22879.750699162287</v>
      </c>
      <c r="L45" s="61">
        <v>22948.33</v>
      </c>
      <c r="M45" s="61">
        <v>23826.4797632277</v>
      </c>
      <c r="N45" s="62">
        <v>25049.76</v>
      </c>
      <c r="O45" s="62">
        <v>25989.078221965</v>
      </c>
      <c r="P45" s="63">
        <v>26609.86</v>
      </c>
      <c r="Q45" s="63">
        <v>27640.33917928569</v>
      </c>
    </row>
    <row r="46" spans="1:17" ht="12.75">
      <c r="A46" s="26">
        <f t="shared" si="8"/>
        <v>42</v>
      </c>
      <c r="B46" s="53">
        <v>13327.67279026169</v>
      </c>
      <c r="C46" s="53">
        <v>13984.946417270954</v>
      </c>
      <c r="D46" s="55">
        <v>16407.858449286512</v>
      </c>
      <c r="E46" s="57">
        <v>17209.14236839599</v>
      </c>
      <c r="F46" s="59">
        <v>21726.557289840777</v>
      </c>
      <c r="G46" s="59">
        <v>22696.439926947103</v>
      </c>
      <c r="H46" s="58">
        <v>28080.999999999996</v>
      </c>
      <c r="I46" s="58">
        <v>29140.917332866662</v>
      </c>
      <c r="J46" s="60">
        <v>22052.83</v>
      </c>
      <c r="K46" s="60">
        <v>23030.479795162286</v>
      </c>
      <c r="L46" s="61">
        <v>22948.33</v>
      </c>
      <c r="M46" s="61">
        <v>23978.9569160277</v>
      </c>
      <c r="N46" s="62">
        <v>25049.76</v>
      </c>
      <c r="O46" s="62">
        <v>26162.197753165</v>
      </c>
      <c r="P46" s="63">
        <v>26609.86</v>
      </c>
      <c r="Q46" s="63">
        <v>27815.94403528569</v>
      </c>
    </row>
    <row r="47" spans="1:17" ht="12.75">
      <c r="A47" s="26">
        <f t="shared" si="8"/>
        <v>43</v>
      </c>
      <c r="B47" s="53">
        <v>13327.67279026169</v>
      </c>
      <c r="C47" s="53">
        <v>14043.780062577574</v>
      </c>
      <c r="D47" s="55">
        <v>16407.858449286512</v>
      </c>
      <c r="E47" s="57">
        <v>17289.56298508104</v>
      </c>
      <c r="F47" s="59">
        <v>21726.557289840777</v>
      </c>
      <c r="G47" s="59">
        <v>22849.260717692672</v>
      </c>
      <c r="H47" s="58">
        <v>28080.999999999996</v>
      </c>
      <c r="I47" s="58">
        <v>29427.740105466662</v>
      </c>
      <c r="J47" s="60">
        <v>22052.83</v>
      </c>
      <c r="K47" s="60">
        <v>23185.05210816229</v>
      </c>
      <c r="L47" s="61">
        <v>22948.33</v>
      </c>
      <c r="M47" s="61">
        <v>24135.3218569277</v>
      </c>
      <c r="N47" s="62">
        <v>25049.76</v>
      </c>
      <c r="O47" s="62">
        <v>26339.731401765002</v>
      </c>
      <c r="P47" s="63">
        <v>26609.86</v>
      </c>
      <c r="Q47" s="63">
        <v>27996.026378285696</v>
      </c>
    </row>
    <row r="48" spans="1:17" ht="12.75">
      <c r="A48" s="26">
        <f>A47+1</f>
        <v>44</v>
      </c>
      <c r="B48" s="53">
        <v>13327.67279026169</v>
      </c>
      <c r="C48" s="53">
        <v>14101.41025195679</v>
      </c>
      <c r="D48" s="55">
        <v>16407.858449286512</v>
      </c>
      <c r="E48" s="57">
        <v>17368.35602861561</v>
      </c>
      <c r="F48" s="59">
        <v>21726.557289840777</v>
      </c>
      <c r="G48" s="59">
        <v>22998.986667550518</v>
      </c>
      <c r="H48" s="58">
        <v>28080.999999999996</v>
      </c>
      <c r="I48" s="58">
        <v>29708.74547786666</v>
      </c>
      <c r="J48" s="60">
        <v>22052.83</v>
      </c>
      <c r="K48" s="60">
        <v>23336.418313362286</v>
      </c>
      <c r="L48" s="61">
        <v>22948.33</v>
      </c>
      <c r="M48" s="61">
        <v>24288.4546311277</v>
      </c>
      <c r="N48" s="62">
        <v>25049.76</v>
      </c>
      <c r="O48" s="62">
        <v>26513.587614965</v>
      </c>
      <c r="P48" s="63">
        <v>26609.86</v>
      </c>
      <c r="Q48" s="63">
        <v>28172.37574268569</v>
      </c>
    </row>
    <row r="49" spans="1:17" ht="12.75">
      <c r="A49" s="26">
        <f>A48+1</f>
        <v>45</v>
      </c>
      <c r="B49" s="53">
        <v>13327.67279026169</v>
      </c>
      <c r="C49" s="53">
        <v>14121.418961428886</v>
      </c>
      <c r="D49" s="55">
        <v>16407.858449286512</v>
      </c>
      <c r="E49" s="57">
        <v>17395.712300276133</v>
      </c>
      <c r="F49" s="59">
        <v>21726.557289840777</v>
      </c>
      <c r="G49" s="59">
        <v>23050.970238373546</v>
      </c>
      <c r="H49" s="58">
        <v>28080.999999999996</v>
      </c>
      <c r="I49" s="58">
        <v>29806.308142799993</v>
      </c>
      <c r="J49" s="60">
        <v>22052.83</v>
      </c>
      <c r="K49" s="60">
        <v>23388.63662338531</v>
      </c>
      <c r="L49" s="61">
        <v>22948.33</v>
      </c>
      <c r="M49" s="61">
        <v>24341.277371054748</v>
      </c>
      <c r="N49" s="62">
        <v>25049.76</v>
      </c>
      <c r="O49" s="62">
        <v>26573.56360061903</v>
      </c>
      <c r="P49" s="63">
        <v>26609.86</v>
      </c>
      <c r="Q49" s="63">
        <v>28233.215535645355</v>
      </c>
    </row>
    <row r="50" spans="2:17" ht="12">
      <c r="B50" s="460"/>
      <c r="C50" s="460"/>
      <c r="D50" s="460"/>
      <c r="E50" s="460"/>
      <c r="F50" s="460"/>
      <c r="G50" s="460"/>
      <c r="H50" s="460"/>
      <c r="I50" s="460"/>
      <c r="J50" s="460"/>
      <c r="K50" s="460"/>
      <c r="L50" s="460"/>
      <c r="M50" s="460"/>
      <c r="N50" s="460"/>
      <c r="O50" s="460"/>
      <c r="P50" s="460"/>
      <c r="Q50" s="460"/>
    </row>
    <row r="51" spans="2:19" ht="12">
      <c r="B51" s="460"/>
      <c r="C51" s="460"/>
      <c r="D51" s="460"/>
      <c r="E51" s="460"/>
      <c r="F51" s="460"/>
      <c r="G51" s="460"/>
      <c r="H51" s="460"/>
      <c r="I51" s="460"/>
      <c r="J51" s="460"/>
      <c r="K51" s="460"/>
      <c r="L51" s="460"/>
      <c r="M51" s="460"/>
      <c r="N51" s="460"/>
      <c r="O51" s="460"/>
      <c r="P51" s="460"/>
      <c r="Q51" s="460"/>
      <c r="R51" s="460"/>
      <c r="S51" s="46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oglio5"/>
  <dimension ref="A1:O72"/>
  <sheetViews>
    <sheetView zoomScalePageLayoutView="0" workbookViewId="0" topLeftCell="A1">
      <selection activeCell="B33" sqref="B33"/>
    </sheetView>
  </sheetViews>
  <sheetFormatPr defaultColWidth="9.140625" defaultRowHeight="12.75"/>
  <cols>
    <col min="1" max="1" width="4.140625" style="0" customWidth="1"/>
    <col min="2" max="2" width="103.421875" style="0" customWidth="1"/>
    <col min="3" max="3" width="4.421875" style="0" customWidth="1"/>
  </cols>
  <sheetData>
    <row r="1" spans="1:15" ht="12">
      <c r="A1" s="1"/>
      <c r="B1" s="1"/>
      <c r="C1" s="1"/>
      <c r="D1" s="135"/>
      <c r="E1" s="135"/>
      <c r="F1" s="135"/>
      <c r="G1" s="135"/>
      <c r="H1" s="135"/>
      <c r="I1" s="135"/>
      <c r="J1" s="135"/>
      <c r="K1" s="135"/>
      <c r="L1" s="135"/>
      <c r="M1" s="135"/>
      <c r="N1" s="135"/>
      <c r="O1" s="135"/>
    </row>
    <row r="2" spans="1:15" ht="12">
      <c r="A2" s="1"/>
      <c r="B2" s="137"/>
      <c r="C2" s="1"/>
      <c r="D2" s="135"/>
      <c r="E2" s="135"/>
      <c r="F2" s="135"/>
      <c r="G2" s="135"/>
      <c r="H2" s="135"/>
      <c r="I2" s="135"/>
      <c r="J2" s="135"/>
      <c r="K2" s="135"/>
      <c r="L2" s="135"/>
      <c r="M2" s="135"/>
      <c r="N2" s="135"/>
      <c r="O2" s="135"/>
    </row>
    <row r="3" spans="1:15" ht="18">
      <c r="A3" s="1"/>
      <c r="B3" s="158" t="s">
        <v>4</v>
      </c>
      <c r="C3" s="1"/>
      <c r="D3" s="135"/>
      <c r="E3" s="135"/>
      <c r="F3" s="135"/>
      <c r="G3" s="135"/>
      <c r="H3" s="135"/>
      <c r="I3" s="135"/>
      <c r="J3" s="135"/>
      <c r="K3" s="135"/>
      <c r="L3" s="135"/>
      <c r="M3" s="135"/>
      <c r="N3" s="135"/>
      <c r="O3" s="135"/>
    </row>
    <row r="4" spans="1:15" ht="12">
      <c r="A4" s="1"/>
      <c r="B4" s="137"/>
      <c r="C4" s="1"/>
      <c r="D4" s="135"/>
      <c r="E4" s="135"/>
      <c r="F4" s="135"/>
      <c r="G4" s="135"/>
      <c r="H4" s="135"/>
      <c r="I4" s="135"/>
      <c r="J4" s="135"/>
      <c r="K4" s="135"/>
      <c r="L4" s="135"/>
      <c r="M4" s="135"/>
      <c r="N4" s="135"/>
      <c r="O4" s="135"/>
    </row>
    <row r="5" spans="1:15" ht="12">
      <c r="A5" s="1"/>
      <c r="B5" s="138"/>
      <c r="C5" s="1"/>
      <c r="D5" s="135"/>
      <c r="E5" s="135"/>
      <c r="F5" s="135"/>
      <c r="G5" s="135"/>
      <c r="H5" s="135"/>
      <c r="I5" s="135"/>
      <c r="J5" s="135"/>
      <c r="K5" s="135"/>
      <c r="L5" s="135"/>
      <c r="M5" s="135"/>
      <c r="N5" s="135"/>
      <c r="O5" s="135"/>
    </row>
    <row r="6" spans="1:15" ht="12.75">
      <c r="A6" s="1"/>
      <c r="B6" s="670" t="s">
        <v>631</v>
      </c>
      <c r="C6" s="1"/>
      <c r="D6" s="135"/>
      <c r="E6" s="135"/>
      <c r="F6" s="135"/>
      <c r="G6" s="135"/>
      <c r="H6" s="135"/>
      <c r="I6" s="135"/>
      <c r="J6" s="135"/>
      <c r="K6" s="135"/>
      <c r="L6" s="135"/>
      <c r="M6" s="135"/>
      <c r="N6" s="135"/>
      <c r="O6" s="135"/>
    </row>
    <row r="7" spans="1:15" ht="12.75">
      <c r="A7" s="1"/>
      <c r="B7" s="321" t="s">
        <v>645</v>
      </c>
      <c r="C7" s="1"/>
      <c r="D7" s="135"/>
      <c r="E7" s="135"/>
      <c r="F7" s="135"/>
      <c r="G7" s="135"/>
      <c r="H7" s="135"/>
      <c r="I7" s="135"/>
      <c r="J7" s="135"/>
      <c r="K7" s="135"/>
      <c r="L7" s="135"/>
      <c r="M7" s="135"/>
      <c r="N7" s="135"/>
      <c r="O7" s="135"/>
    </row>
    <row r="8" spans="1:15" ht="12.75">
      <c r="A8" s="1"/>
      <c r="B8" s="321" t="s">
        <v>646</v>
      </c>
      <c r="C8" s="1"/>
      <c r="D8" s="135"/>
      <c r="E8" s="135"/>
      <c r="F8" s="135"/>
      <c r="G8" s="135"/>
      <c r="H8" s="135"/>
      <c r="I8" s="135"/>
      <c r="J8" s="135"/>
      <c r="K8" s="135"/>
      <c r="L8" s="135"/>
      <c r="M8" s="135"/>
      <c r="N8" s="135"/>
      <c r="O8" s="135"/>
    </row>
    <row r="9" spans="1:15" ht="12.75">
      <c r="A9" s="1"/>
      <c r="B9" s="321" t="s">
        <v>647</v>
      </c>
      <c r="C9" s="1"/>
      <c r="D9" s="135"/>
      <c r="E9" s="135"/>
      <c r="F9" s="135"/>
      <c r="G9" s="135"/>
      <c r="H9" s="135"/>
      <c r="I9" s="135"/>
      <c r="J9" s="135"/>
      <c r="K9" s="135"/>
      <c r="L9" s="135"/>
      <c r="M9" s="135"/>
      <c r="N9" s="135"/>
      <c r="O9" s="135"/>
    </row>
    <row r="10" spans="1:15" ht="12.75">
      <c r="A10" s="1"/>
      <c r="B10" s="321" t="s">
        <v>648</v>
      </c>
      <c r="C10" s="1"/>
      <c r="D10" s="135"/>
      <c r="E10" s="135"/>
      <c r="F10" s="135"/>
      <c r="G10" s="135"/>
      <c r="H10" s="135"/>
      <c r="I10" s="135"/>
      <c r="J10" s="135"/>
      <c r="K10" s="135"/>
      <c r="L10" s="135"/>
      <c r="M10" s="135"/>
      <c r="N10" s="135"/>
      <c r="O10" s="135"/>
    </row>
    <row r="11" spans="1:15" ht="12.75">
      <c r="A11" s="1"/>
      <c r="B11" s="321" t="s">
        <v>649</v>
      </c>
      <c r="C11" s="1"/>
      <c r="D11" s="135"/>
      <c r="E11" s="135"/>
      <c r="F11" s="135"/>
      <c r="G11" s="135"/>
      <c r="H11" s="135"/>
      <c r="I11" s="135"/>
      <c r="J11" s="135"/>
      <c r="K11" s="135"/>
      <c r="L11" s="135"/>
      <c r="M11" s="135"/>
      <c r="N11" s="135"/>
      <c r="O11" s="135"/>
    </row>
    <row r="12" spans="1:15" ht="12.75">
      <c r="A12" s="1"/>
      <c r="B12" s="321" t="s">
        <v>650</v>
      </c>
      <c r="C12" s="1"/>
      <c r="D12" s="135"/>
      <c r="E12" s="135"/>
      <c r="F12" s="135"/>
      <c r="G12" s="135"/>
      <c r="H12" s="135"/>
      <c r="I12" s="135"/>
      <c r="J12" s="135"/>
      <c r="K12" s="135"/>
      <c r="L12" s="135"/>
      <c r="M12" s="135"/>
      <c r="N12" s="135"/>
      <c r="O12" s="135"/>
    </row>
    <row r="13" spans="1:15" ht="12.75">
      <c r="A13" s="1"/>
      <c r="B13" s="321" t="s">
        <v>651</v>
      </c>
      <c r="C13" s="1"/>
      <c r="D13" s="135"/>
      <c r="E13" s="135"/>
      <c r="F13" s="135"/>
      <c r="G13" s="135"/>
      <c r="H13" s="135"/>
      <c r="I13" s="135"/>
      <c r="J13" s="135"/>
      <c r="K13" s="135"/>
      <c r="L13" s="135"/>
      <c r="M13" s="135"/>
      <c r="N13" s="135"/>
      <c r="O13" s="135"/>
    </row>
    <row r="14" spans="1:15" ht="12.75">
      <c r="A14" s="1"/>
      <c r="B14" s="321" t="s">
        <v>652</v>
      </c>
      <c r="C14" s="1"/>
      <c r="D14" s="135"/>
      <c r="E14" s="135"/>
      <c r="F14" s="135"/>
      <c r="G14" s="135"/>
      <c r="H14" s="135"/>
      <c r="I14" s="135"/>
      <c r="J14" s="135"/>
      <c r="K14" s="135"/>
      <c r="L14" s="135"/>
      <c r="M14" s="135"/>
      <c r="N14" s="135"/>
      <c r="O14" s="135"/>
    </row>
    <row r="15" spans="1:15" ht="12.75">
      <c r="A15" s="1"/>
      <c r="B15" s="321" t="s">
        <v>653</v>
      </c>
      <c r="C15" s="1"/>
      <c r="D15" s="135"/>
      <c r="E15" s="135"/>
      <c r="F15" s="135"/>
      <c r="G15" s="135"/>
      <c r="H15" s="135"/>
      <c r="I15" s="135"/>
      <c r="J15" s="135"/>
      <c r="K15" s="135"/>
      <c r="L15" s="135"/>
      <c r="M15" s="135"/>
      <c r="N15" s="135"/>
      <c r="O15" s="135"/>
    </row>
    <row r="16" spans="1:15" ht="12.75">
      <c r="A16" s="1"/>
      <c r="B16" s="321" t="s">
        <v>632</v>
      </c>
      <c r="C16" s="1"/>
      <c r="D16" s="135"/>
      <c r="E16" s="135"/>
      <c r="F16" s="135"/>
      <c r="G16" s="135"/>
      <c r="H16" s="135"/>
      <c r="I16" s="135"/>
      <c r="J16" s="135"/>
      <c r="K16" s="135"/>
      <c r="L16" s="135"/>
      <c r="M16" s="135"/>
      <c r="N16" s="135"/>
      <c r="O16" s="135"/>
    </row>
    <row r="17" spans="1:15" ht="12">
      <c r="A17" s="1"/>
      <c r="B17" s="1"/>
      <c r="C17" s="1"/>
      <c r="D17" s="135"/>
      <c r="E17" s="135"/>
      <c r="F17" s="135"/>
      <c r="G17" s="135"/>
      <c r="H17" s="135"/>
      <c r="I17" s="135"/>
      <c r="J17" s="135"/>
      <c r="K17" s="135"/>
      <c r="L17" s="135"/>
      <c r="M17" s="135"/>
      <c r="N17" s="135"/>
      <c r="O17" s="135"/>
    </row>
    <row r="18" spans="1:15" ht="12.75">
      <c r="A18" s="1"/>
      <c r="B18" s="159"/>
      <c r="C18" s="1"/>
      <c r="D18" s="135"/>
      <c r="E18" s="135"/>
      <c r="F18" s="135"/>
      <c r="G18" s="135"/>
      <c r="H18" s="135"/>
      <c r="I18" s="135"/>
      <c r="J18" s="135"/>
      <c r="K18" s="135"/>
      <c r="L18" s="135"/>
      <c r="M18" s="135"/>
      <c r="N18" s="135"/>
      <c r="O18" s="135"/>
    </row>
    <row r="19" spans="1:15" ht="12.75">
      <c r="A19" s="1"/>
      <c r="B19" s="595" t="s">
        <v>633</v>
      </c>
      <c r="C19" s="1"/>
      <c r="D19" s="135"/>
      <c r="E19" s="135"/>
      <c r="F19" s="135"/>
      <c r="G19" s="135"/>
      <c r="H19" s="135"/>
      <c r="I19" s="135"/>
      <c r="J19" s="135"/>
      <c r="K19" s="135"/>
      <c r="L19" s="135"/>
      <c r="M19" s="135"/>
      <c r="N19" s="135"/>
      <c r="O19" s="135"/>
    </row>
    <row r="20" spans="1:15" ht="12.75">
      <c r="A20" s="1"/>
      <c r="B20" s="671" t="s">
        <v>654</v>
      </c>
      <c r="C20" s="1"/>
      <c r="D20" s="135"/>
      <c r="E20" s="135"/>
      <c r="F20" s="135"/>
      <c r="G20" s="135"/>
      <c r="H20" s="135"/>
      <c r="I20" s="135"/>
      <c r="J20" s="135"/>
      <c r="K20" s="135"/>
      <c r="L20" s="135"/>
      <c r="M20" s="135"/>
      <c r="N20" s="135"/>
      <c r="O20" s="135"/>
    </row>
    <row r="21" spans="1:15" ht="12.75">
      <c r="A21" s="1"/>
      <c r="B21" s="671" t="s">
        <v>634</v>
      </c>
      <c r="C21" s="1"/>
      <c r="D21" s="135"/>
      <c r="E21" s="135"/>
      <c r="F21" s="135"/>
      <c r="G21" s="135"/>
      <c r="H21" s="135"/>
      <c r="I21" s="135"/>
      <c r="J21" s="135"/>
      <c r="K21" s="135"/>
      <c r="L21" s="135"/>
      <c r="M21" s="135"/>
      <c r="N21" s="135"/>
      <c r="O21" s="135"/>
    </row>
    <row r="22" spans="1:15" ht="12.75">
      <c r="A22" s="1"/>
      <c r="B22" s="671" t="s">
        <v>635</v>
      </c>
      <c r="C22" s="1"/>
      <c r="D22" s="135"/>
      <c r="E22" s="135"/>
      <c r="F22" s="135"/>
      <c r="G22" s="135"/>
      <c r="H22" s="135"/>
      <c r="I22" s="135"/>
      <c r="J22" s="135"/>
      <c r="K22" s="135"/>
      <c r="L22" s="135"/>
      <c r="M22" s="135"/>
      <c r="N22" s="135"/>
      <c r="O22" s="135"/>
    </row>
    <row r="23" spans="1:15" ht="12.75">
      <c r="A23" s="1"/>
      <c r="B23" s="671"/>
      <c r="C23" s="1"/>
      <c r="D23" s="135"/>
      <c r="E23" s="135"/>
      <c r="F23" s="135"/>
      <c r="G23" s="135"/>
      <c r="H23" s="135"/>
      <c r="I23" s="135"/>
      <c r="J23" s="135"/>
      <c r="K23" s="135"/>
      <c r="L23" s="135"/>
      <c r="M23" s="135"/>
      <c r="N23" s="135"/>
      <c r="O23" s="135"/>
    </row>
    <row r="24" spans="1:15" ht="12.75">
      <c r="A24" s="1"/>
      <c r="B24" s="671" t="s">
        <v>636</v>
      </c>
      <c r="C24" s="1"/>
      <c r="D24" s="135"/>
      <c r="E24" s="135"/>
      <c r="F24" s="135"/>
      <c r="G24" s="135"/>
      <c r="H24" s="135"/>
      <c r="I24" s="135"/>
      <c r="J24" s="135"/>
      <c r="K24" s="135"/>
      <c r="L24" s="135"/>
      <c r="M24" s="135"/>
      <c r="N24" s="135"/>
      <c r="O24" s="135"/>
    </row>
    <row r="25" spans="1:15" ht="12.75">
      <c r="A25" s="1"/>
      <c r="B25" s="671" t="s">
        <v>637</v>
      </c>
      <c r="C25" s="1"/>
      <c r="D25" s="135"/>
      <c r="E25" s="135"/>
      <c r="F25" s="135"/>
      <c r="G25" s="135"/>
      <c r="H25" s="135"/>
      <c r="I25" s="135"/>
      <c r="J25" s="135"/>
      <c r="K25" s="135"/>
      <c r="L25" s="135"/>
      <c r="M25" s="135"/>
      <c r="N25" s="135"/>
      <c r="O25" s="135"/>
    </row>
    <row r="26" spans="1:15" ht="12.75">
      <c r="A26" s="1"/>
      <c r="B26" s="671"/>
      <c r="C26" s="1"/>
      <c r="D26" s="135"/>
      <c r="E26" s="135"/>
      <c r="F26" s="135"/>
      <c r="G26" s="135"/>
      <c r="H26" s="135"/>
      <c r="I26" s="135"/>
      <c r="J26" s="135"/>
      <c r="K26" s="135"/>
      <c r="L26" s="135"/>
      <c r="M26" s="135"/>
      <c r="N26" s="135"/>
      <c r="O26" s="135"/>
    </row>
    <row r="27" spans="1:15" ht="12.75">
      <c r="A27" s="1"/>
      <c r="B27" s="671" t="s">
        <v>638</v>
      </c>
      <c r="C27" s="1"/>
      <c r="D27" s="135"/>
      <c r="E27" s="135"/>
      <c r="F27" s="135"/>
      <c r="G27" s="135"/>
      <c r="H27" s="135"/>
      <c r="I27" s="135"/>
      <c r="J27" s="135"/>
      <c r="K27" s="135"/>
      <c r="L27" s="135"/>
      <c r="M27" s="135"/>
      <c r="N27" s="135"/>
      <c r="O27" s="135"/>
    </row>
    <row r="28" spans="1:15" ht="12.75">
      <c r="A28" s="497"/>
      <c r="B28" s="671" t="s">
        <v>639</v>
      </c>
      <c r="C28" s="1"/>
      <c r="D28" s="135"/>
      <c r="E28" s="135"/>
      <c r="F28" s="135"/>
      <c r="G28" s="135"/>
      <c r="H28" s="135"/>
      <c r="I28" s="135"/>
      <c r="J28" s="135"/>
      <c r="K28" s="135"/>
      <c r="L28" s="135"/>
      <c r="M28" s="135"/>
      <c r="N28" s="135"/>
      <c r="O28" s="135"/>
    </row>
    <row r="29" spans="1:15" ht="12.75">
      <c r="A29" s="1"/>
      <c r="B29" s="321"/>
      <c r="C29" s="1"/>
      <c r="D29" s="135"/>
      <c r="E29" s="135"/>
      <c r="F29" s="135"/>
      <c r="G29" s="135"/>
      <c r="H29" s="135"/>
      <c r="I29" s="135"/>
      <c r="J29" s="135"/>
      <c r="K29" s="135"/>
      <c r="L29" s="135"/>
      <c r="M29" s="135"/>
      <c r="N29" s="135"/>
      <c r="O29" s="135"/>
    </row>
    <row r="30" spans="1:15" ht="12">
      <c r="A30" s="1"/>
      <c r="B30" s="1"/>
      <c r="C30" s="1"/>
      <c r="D30" s="135"/>
      <c r="E30" s="135"/>
      <c r="F30" s="135"/>
      <c r="G30" s="135"/>
      <c r="H30" s="135"/>
      <c r="I30" s="135"/>
      <c r="J30" s="135"/>
      <c r="K30" s="135"/>
      <c r="L30" s="135"/>
      <c r="M30" s="135"/>
      <c r="N30" s="135"/>
      <c r="O30" s="135"/>
    </row>
    <row r="31" spans="1:15" ht="12.75">
      <c r="A31" s="1"/>
      <c r="B31" s="321"/>
      <c r="C31" s="1"/>
      <c r="D31" s="135"/>
      <c r="E31" s="135"/>
      <c r="F31" s="135"/>
      <c r="G31" s="135"/>
      <c r="H31" s="135"/>
      <c r="I31" s="135"/>
      <c r="J31" s="135"/>
      <c r="K31" s="135"/>
      <c r="L31" s="135"/>
      <c r="M31" s="135"/>
      <c r="N31" s="135"/>
      <c r="O31" s="135"/>
    </row>
    <row r="32" spans="1:15" ht="12.75">
      <c r="A32" s="1"/>
      <c r="B32" s="321"/>
      <c r="C32" s="1"/>
      <c r="D32" s="135"/>
      <c r="E32" s="135"/>
      <c r="F32" s="135"/>
      <c r="G32" s="135"/>
      <c r="H32" s="135"/>
      <c r="I32" s="135"/>
      <c r="J32" s="135"/>
      <c r="K32" s="135"/>
      <c r="L32" s="135"/>
      <c r="M32" s="135"/>
      <c r="N32" s="135"/>
      <c r="O32" s="135"/>
    </row>
    <row r="33" spans="1:15" ht="12.75">
      <c r="A33" s="1"/>
      <c r="B33" s="321"/>
      <c r="C33" s="1"/>
      <c r="D33" s="135"/>
      <c r="E33" s="135"/>
      <c r="F33" s="135"/>
      <c r="G33" s="135"/>
      <c r="H33" s="135"/>
      <c r="I33" s="135"/>
      <c r="J33" s="135"/>
      <c r="K33" s="135"/>
      <c r="L33" s="135"/>
      <c r="M33" s="135"/>
      <c r="N33" s="135"/>
      <c r="O33" s="135"/>
    </row>
    <row r="34" spans="1:15" ht="12.75">
      <c r="A34" s="1"/>
      <c r="B34" s="159"/>
      <c r="C34" s="1"/>
      <c r="D34" s="135"/>
      <c r="E34" s="135"/>
      <c r="F34" s="135"/>
      <c r="G34" s="135"/>
      <c r="H34" s="135"/>
      <c r="I34" s="135"/>
      <c r="J34" s="135"/>
      <c r="K34" s="135"/>
      <c r="L34" s="135"/>
      <c r="M34" s="135"/>
      <c r="N34" s="135"/>
      <c r="O34" s="135"/>
    </row>
    <row r="35" spans="1:15" ht="12">
      <c r="A35" s="1"/>
      <c r="B35" s="138"/>
      <c r="C35" s="1"/>
      <c r="D35" s="135"/>
      <c r="E35" s="135"/>
      <c r="F35" s="135"/>
      <c r="G35" s="135"/>
      <c r="H35" s="135"/>
      <c r="I35" s="135"/>
      <c r="J35" s="135"/>
      <c r="K35" s="135"/>
      <c r="L35" s="135"/>
      <c r="M35" s="135"/>
      <c r="N35" s="135"/>
      <c r="O35" s="135"/>
    </row>
    <row r="36" spans="1:15" ht="12.75">
      <c r="A36" s="1"/>
      <c r="B36" s="135"/>
      <c r="C36" s="1"/>
      <c r="D36" s="135"/>
      <c r="E36" s="135"/>
      <c r="F36" s="135"/>
      <c r="G36" s="135"/>
      <c r="H36" s="135"/>
      <c r="I36" s="135"/>
      <c r="J36" s="135"/>
      <c r="K36" s="135"/>
      <c r="L36" s="135"/>
      <c r="M36" s="135"/>
      <c r="N36" s="135"/>
      <c r="O36" s="135"/>
    </row>
    <row r="37" spans="1:15" ht="12.75">
      <c r="A37" s="1"/>
      <c r="B37" s="135"/>
      <c r="C37" s="1"/>
      <c r="D37" s="135"/>
      <c r="E37" s="135"/>
      <c r="F37" s="135"/>
      <c r="G37" s="135"/>
      <c r="H37" s="135"/>
      <c r="I37" s="135"/>
      <c r="J37" s="135"/>
      <c r="K37" s="135"/>
      <c r="L37" s="135"/>
      <c r="M37" s="135"/>
      <c r="N37" s="135"/>
      <c r="O37" s="135"/>
    </row>
    <row r="38" spans="1:15" ht="12.75">
      <c r="A38" s="1"/>
      <c r="B38" s="160" t="s">
        <v>140</v>
      </c>
      <c r="C38" s="1"/>
      <c r="D38" s="135"/>
      <c r="E38" s="135"/>
      <c r="F38" s="135"/>
      <c r="G38" s="135"/>
      <c r="H38" s="135"/>
      <c r="I38" s="135"/>
      <c r="J38" s="135"/>
      <c r="K38" s="135"/>
      <c r="L38" s="135"/>
      <c r="M38" s="135"/>
      <c r="N38" s="135"/>
      <c r="O38" s="135"/>
    </row>
    <row r="39" spans="1:15" ht="12.75">
      <c r="A39" s="1"/>
      <c r="B39" s="161"/>
      <c r="C39" s="1"/>
      <c r="D39" s="135"/>
      <c r="E39" s="135"/>
      <c r="F39" s="135"/>
      <c r="G39" s="135"/>
      <c r="H39" s="135"/>
      <c r="I39" s="135"/>
      <c r="J39" s="135"/>
      <c r="K39" s="135"/>
      <c r="L39" s="135"/>
      <c r="M39" s="135"/>
      <c r="N39" s="135"/>
      <c r="O39" s="135"/>
    </row>
    <row r="40" spans="1:15" ht="12">
      <c r="A40" s="1"/>
      <c r="B40" s="1"/>
      <c r="C40" s="1"/>
      <c r="D40" s="135"/>
      <c r="E40" s="135"/>
      <c r="F40" s="135"/>
      <c r="G40" s="135"/>
      <c r="H40" s="135"/>
      <c r="I40" s="135"/>
      <c r="J40" s="135"/>
      <c r="K40" s="135"/>
      <c r="L40" s="135"/>
      <c r="M40" s="135"/>
      <c r="N40" s="135"/>
      <c r="O40" s="135"/>
    </row>
    <row r="41" spans="1:15" ht="12">
      <c r="A41" s="1"/>
      <c r="B41" s="1"/>
      <c r="C41" s="1"/>
      <c r="D41" s="135"/>
      <c r="E41" s="135"/>
      <c r="F41" s="135"/>
      <c r="G41" s="135"/>
      <c r="H41" s="135"/>
      <c r="I41" s="135"/>
      <c r="J41" s="135"/>
      <c r="K41" s="135"/>
      <c r="L41" s="135"/>
      <c r="M41" s="135"/>
      <c r="N41" s="135"/>
      <c r="O41" s="135"/>
    </row>
    <row r="42" spans="1:15" ht="12">
      <c r="A42" s="135"/>
      <c r="B42" s="135"/>
      <c r="C42" s="135"/>
      <c r="D42" s="135"/>
      <c r="E42" s="135"/>
      <c r="F42" s="135"/>
      <c r="G42" s="135"/>
      <c r="H42" s="135"/>
      <c r="I42" s="135"/>
      <c r="J42" s="135"/>
      <c r="K42" s="135"/>
      <c r="L42" s="135"/>
      <c r="M42" s="135"/>
      <c r="N42" s="135"/>
      <c r="O42" s="135"/>
    </row>
    <row r="43" spans="1:15" ht="12">
      <c r="A43" s="135"/>
      <c r="B43" s="135"/>
      <c r="C43" s="135"/>
      <c r="D43" s="135"/>
      <c r="E43" s="135"/>
      <c r="F43" s="135"/>
      <c r="G43" s="135"/>
      <c r="H43" s="135"/>
      <c r="I43" s="135"/>
      <c r="J43" s="135"/>
      <c r="K43" s="135"/>
      <c r="L43" s="135"/>
      <c r="M43" s="135"/>
      <c r="N43" s="135"/>
      <c r="O43" s="135"/>
    </row>
    <row r="44" spans="1:15" ht="12">
      <c r="A44" s="135"/>
      <c r="B44" s="135"/>
      <c r="C44" s="135"/>
      <c r="D44" s="135"/>
      <c r="E44" s="135"/>
      <c r="F44" s="135"/>
      <c r="G44" s="135"/>
      <c r="H44" s="135"/>
      <c r="I44" s="135"/>
      <c r="J44" s="135"/>
      <c r="K44" s="135"/>
      <c r="L44" s="135"/>
      <c r="M44" s="135"/>
      <c r="N44" s="135"/>
      <c r="O44" s="135"/>
    </row>
    <row r="45" spans="1:15" ht="12">
      <c r="A45" s="135"/>
      <c r="B45" s="135"/>
      <c r="C45" s="135"/>
      <c r="D45" s="135"/>
      <c r="E45" s="135"/>
      <c r="F45" s="135"/>
      <c r="G45" s="135"/>
      <c r="H45" s="135"/>
      <c r="I45" s="135"/>
      <c r="J45" s="135"/>
      <c r="K45" s="135"/>
      <c r="L45" s="135"/>
      <c r="M45" s="135"/>
      <c r="N45" s="135"/>
      <c r="O45" s="135"/>
    </row>
    <row r="46" spans="1:15" ht="12">
      <c r="A46" s="135"/>
      <c r="B46" s="135"/>
      <c r="C46" s="135"/>
      <c r="D46" s="135"/>
      <c r="E46" s="135"/>
      <c r="F46" s="135"/>
      <c r="G46" s="135"/>
      <c r="H46" s="135"/>
      <c r="I46" s="135"/>
      <c r="J46" s="135"/>
      <c r="K46" s="135"/>
      <c r="L46" s="135"/>
      <c r="M46" s="135"/>
      <c r="N46" s="135"/>
      <c r="O46" s="135"/>
    </row>
    <row r="47" spans="1:15" ht="12">
      <c r="A47" s="135"/>
      <c r="B47" s="135"/>
      <c r="C47" s="135"/>
      <c r="D47" s="135"/>
      <c r="E47" s="135"/>
      <c r="F47" s="135"/>
      <c r="G47" s="135"/>
      <c r="H47" s="135"/>
      <c r="I47" s="135"/>
      <c r="J47" s="135"/>
      <c r="K47" s="135"/>
      <c r="L47" s="135"/>
      <c r="M47" s="135"/>
      <c r="N47" s="135"/>
      <c r="O47" s="135"/>
    </row>
    <row r="48" spans="1:15" ht="12">
      <c r="A48" s="135"/>
      <c r="B48" s="135"/>
      <c r="C48" s="135"/>
      <c r="D48" s="135"/>
      <c r="E48" s="135"/>
      <c r="F48" s="135"/>
      <c r="G48" s="135"/>
      <c r="H48" s="135"/>
      <c r="I48" s="135"/>
      <c r="J48" s="135"/>
      <c r="K48" s="135"/>
      <c r="L48" s="135"/>
      <c r="M48" s="135"/>
      <c r="N48" s="135"/>
      <c r="O48" s="135"/>
    </row>
    <row r="49" spans="1:15" ht="12">
      <c r="A49" s="135"/>
      <c r="B49" s="135"/>
      <c r="C49" s="135"/>
      <c r="D49" s="135"/>
      <c r="E49" s="135"/>
      <c r="F49" s="135"/>
      <c r="G49" s="135"/>
      <c r="H49" s="135"/>
      <c r="I49" s="135"/>
      <c r="J49" s="135"/>
      <c r="K49" s="135"/>
      <c r="L49" s="135"/>
      <c r="M49" s="135"/>
      <c r="N49" s="135"/>
      <c r="O49" s="135"/>
    </row>
    <row r="50" spans="1:15" ht="12">
      <c r="A50" s="135"/>
      <c r="B50" s="135"/>
      <c r="C50" s="135"/>
      <c r="D50" s="135"/>
      <c r="E50" s="135"/>
      <c r="F50" s="135"/>
      <c r="G50" s="135"/>
      <c r="H50" s="135"/>
      <c r="I50" s="135"/>
      <c r="J50" s="135"/>
      <c r="K50" s="135"/>
      <c r="L50" s="135"/>
      <c r="M50" s="135"/>
      <c r="N50" s="135"/>
      <c r="O50" s="135"/>
    </row>
    <row r="51" spans="1:15" ht="12">
      <c r="A51" s="135"/>
      <c r="B51" s="135"/>
      <c r="C51" s="135"/>
      <c r="D51" s="135"/>
      <c r="E51" s="135"/>
      <c r="F51" s="135"/>
      <c r="G51" s="135"/>
      <c r="H51" s="135"/>
      <c r="I51" s="135"/>
      <c r="J51" s="135"/>
      <c r="K51" s="135"/>
      <c r="L51" s="135"/>
      <c r="M51" s="135"/>
      <c r="N51" s="135"/>
      <c r="O51" s="135"/>
    </row>
    <row r="52" spans="1:15" ht="12">
      <c r="A52" s="135"/>
      <c r="B52" s="135"/>
      <c r="C52" s="135"/>
      <c r="D52" s="135"/>
      <c r="E52" s="135"/>
      <c r="F52" s="135"/>
      <c r="G52" s="135"/>
      <c r="H52" s="135"/>
      <c r="I52" s="135"/>
      <c r="J52" s="135"/>
      <c r="K52" s="135"/>
      <c r="L52" s="135"/>
      <c r="M52" s="135"/>
      <c r="N52" s="135"/>
      <c r="O52" s="135"/>
    </row>
    <row r="53" spans="1:15" ht="12">
      <c r="A53" s="135"/>
      <c r="B53" s="135"/>
      <c r="C53" s="135"/>
      <c r="D53" s="135"/>
      <c r="E53" s="135"/>
      <c r="F53" s="135"/>
      <c r="G53" s="135"/>
      <c r="H53" s="135"/>
      <c r="I53" s="135"/>
      <c r="J53" s="135"/>
      <c r="K53" s="135"/>
      <c r="L53" s="135"/>
      <c r="M53" s="135"/>
      <c r="N53" s="135"/>
      <c r="O53" s="135"/>
    </row>
    <row r="54" spans="1:15" ht="12">
      <c r="A54" s="135"/>
      <c r="B54" s="135"/>
      <c r="C54" s="135"/>
      <c r="D54" s="135"/>
      <c r="E54" s="135"/>
      <c r="F54" s="135"/>
      <c r="G54" s="135"/>
      <c r="H54" s="135"/>
      <c r="I54" s="135"/>
      <c r="J54" s="135"/>
      <c r="K54" s="135"/>
      <c r="L54" s="135"/>
      <c r="M54" s="135"/>
      <c r="N54" s="135"/>
      <c r="O54" s="135"/>
    </row>
    <row r="55" spans="1:15" ht="12">
      <c r="A55" s="135"/>
      <c r="B55" s="135"/>
      <c r="C55" s="135"/>
      <c r="D55" s="135"/>
      <c r="E55" s="135"/>
      <c r="F55" s="135"/>
      <c r="G55" s="135"/>
      <c r="H55" s="135"/>
      <c r="I55" s="135"/>
      <c r="J55" s="135"/>
      <c r="K55" s="135"/>
      <c r="L55" s="135"/>
      <c r="M55" s="135"/>
      <c r="N55" s="135"/>
      <c r="O55" s="135"/>
    </row>
    <row r="56" spans="1:15" ht="12">
      <c r="A56" s="135"/>
      <c r="B56" s="135"/>
      <c r="C56" s="135"/>
      <c r="D56" s="135"/>
      <c r="E56" s="135"/>
      <c r="F56" s="135"/>
      <c r="G56" s="135"/>
      <c r="H56" s="135"/>
      <c r="I56" s="135"/>
      <c r="J56" s="135"/>
      <c r="K56" s="135"/>
      <c r="L56" s="135"/>
      <c r="M56" s="135"/>
      <c r="N56" s="135"/>
      <c r="O56" s="135"/>
    </row>
    <row r="57" spans="1:15" ht="12">
      <c r="A57" s="135"/>
      <c r="B57" s="135"/>
      <c r="C57" s="135"/>
      <c r="D57" s="135"/>
      <c r="E57" s="135"/>
      <c r="F57" s="135"/>
      <c r="G57" s="135"/>
      <c r="H57" s="135"/>
      <c r="I57" s="135"/>
      <c r="J57" s="135"/>
      <c r="K57" s="135"/>
      <c r="L57" s="135"/>
      <c r="M57" s="135"/>
      <c r="N57" s="135"/>
      <c r="O57" s="135"/>
    </row>
    <row r="58" spans="1:15" ht="12">
      <c r="A58" s="135"/>
      <c r="B58" s="135"/>
      <c r="C58" s="135"/>
      <c r="D58" s="135"/>
      <c r="E58" s="135"/>
      <c r="F58" s="135"/>
      <c r="G58" s="135"/>
      <c r="H58" s="135"/>
      <c r="I58" s="135"/>
      <c r="J58" s="135"/>
      <c r="K58" s="135"/>
      <c r="L58" s="135"/>
      <c r="M58" s="135"/>
      <c r="N58" s="135"/>
      <c r="O58" s="135"/>
    </row>
    <row r="59" spans="1:15" ht="12">
      <c r="A59" s="135"/>
      <c r="B59" s="135"/>
      <c r="C59" s="135"/>
      <c r="D59" s="135"/>
      <c r="E59" s="135"/>
      <c r="F59" s="135"/>
      <c r="G59" s="135"/>
      <c r="H59" s="135"/>
      <c r="I59" s="135"/>
      <c r="J59" s="135"/>
      <c r="K59" s="135"/>
      <c r="L59" s="135"/>
      <c r="M59" s="135"/>
      <c r="N59" s="135"/>
      <c r="O59" s="135"/>
    </row>
    <row r="60" spans="1:15" ht="12">
      <c r="A60" s="135"/>
      <c r="B60" s="135"/>
      <c r="C60" s="135"/>
      <c r="D60" s="135"/>
      <c r="E60" s="135"/>
      <c r="F60" s="135"/>
      <c r="G60" s="135"/>
      <c r="H60" s="135"/>
      <c r="I60" s="135"/>
      <c r="J60" s="135"/>
      <c r="K60" s="135"/>
      <c r="L60" s="135"/>
      <c r="M60" s="135"/>
      <c r="N60" s="135"/>
      <c r="O60" s="135"/>
    </row>
    <row r="61" spans="1:15" ht="12">
      <c r="A61" s="135"/>
      <c r="B61" s="135"/>
      <c r="C61" s="135"/>
      <c r="D61" s="135"/>
      <c r="E61" s="135"/>
      <c r="F61" s="135"/>
      <c r="G61" s="135"/>
      <c r="H61" s="135"/>
      <c r="I61" s="135"/>
      <c r="J61" s="135"/>
      <c r="K61" s="135"/>
      <c r="L61" s="135"/>
      <c r="M61" s="135"/>
      <c r="N61" s="135"/>
      <c r="O61" s="135"/>
    </row>
    <row r="62" spans="1:15" ht="12">
      <c r="A62" s="135"/>
      <c r="B62" s="135"/>
      <c r="C62" s="135"/>
      <c r="D62" s="135"/>
      <c r="E62" s="135"/>
      <c r="F62" s="135"/>
      <c r="G62" s="135"/>
      <c r="H62" s="135"/>
      <c r="I62" s="135"/>
      <c r="J62" s="135"/>
      <c r="K62" s="135"/>
      <c r="L62" s="135"/>
      <c r="M62" s="135"/>
      <c r="N62" s="135"/>
      <c r="O62" s="135"/>
    </row>
    <row r="63" spans="1:15" ht="12">
      <c r="A63" s="135"/>
      <c r="B63" s="135"/>
      <c r="C63" s="135"/>
      <c r="D63" s="135"/>
      <c r="E63" s="135"/>
      <c r="F63" s="135"/>
      <c r="G63" s="135"/>
      <c r="H63" s="135"/>
      <c r="I63" s="135"/>
      <c r="J63" s="135"/>
      <c r="K63" s="135"/>
      <c r="L63" s="135"/>
      <c r="M63" s="135"/>
      <c r="N63" s="135"/>
      <c r="O63" s="135"/>
    </row>
    <row r="64" spans="1:15" ht="12">
      <c r="A64" s="135"/>
      <c r="B64" s="135"/>
      <c r="C64" s="135"/>
      <c r="D64" s="135"/>
      <c r="E64" s="135"/>
      <c r="F64" s="135"/>
      <c r="G64" s="135"/>
      <c r="H64" s="135"/>
      <c r="I64" s="135"/>
      <c r="J64" s="135"/>
      <c r="K64" s="135"/>
      <c r="L64" s="135"/>
      <c r="M64" s="135"/>
      <c r="N64" s="135"/>
      <c r="O64" s="135"/>
    </row>
    <row r="65" spans="1:15" ht="12">
      <c r="A65" s="135"/>
      <c r="B65" s="135"/>
      <c r="C65" s="135"/>
      <c r="D65" s="135"/>
      <c r="E65" s="135"/>
      <c r="F65" s="135"/>
      <c r="G65" s="135"/>
      <c r="H65" s="135"/>
      <c r="I65" s="135"/>
      <c r="J65" s="135"/>
      <c r="K65" s="135"/>
      <c r="L65" s="135"/>
      <c r="M65" s="135"/>
      <c r="N65" s="135"/>
      <c r="O65" s="135"/>
    </row>
    <row r="66" spans="1:15" ht="12">
      <c r="A66" s="135"/>
      <c r="B66" s="135"/>
      <c r="C66" s="135"/>
      <c r="D66" s="135"/>
      <c r="E66" s="135"/>
      <c r="F66" s="135"/>
      <c r="G66" s="135"/>
      <c r="H66" s="135"/>
      <c r="I66" s="135"/>
      <c r="J66" s="135"/>
      <c r="K66" s="135"/>
      <c r="L66" s="135"/>
      <c r="M66" s="135"/>
      <c r="N66" s="135"/>
      <c r="O66" s="135"/>
    </row>
    <row r="67" spans="1:15" ht="12">
      <c r="A67" s="135"/>
      <c r="B67" s="135"/>
      <c r="C67" s="135"/>
      <c r="D67" s="135"/>
      <c r="E67" s="135"/>
      <c r="F67" s="135"/>
      <c r="G67" s="135"/>
      <c r="H67" s="135"/>
      <c r="I67" s="135"/>
      <c r="J67" s="135"/>
      <c r="K67" s="135"/>
      <c r="L67" s="135"/>
      <c r="M67" s="135"/>
      <c r="N67" s="135"/>
      <c r="O67" s="135"/>
    </row>
    <row r="68" spans="1:15" ht="12">
      <c r="A68" s="135"/>
      <c r="B68" s="135"/>
      <c r="C68" s="135"/>
      <c r="D68" s="135"/>
      <c r="E68" s="135"/>
      <c r="F68" s="135"/>
      <c r="G68" s="135"/>
      <c r="H68" s="135"/>
      <c r="I68" s="135"/>
      <c r="J68" s="135"/>
      <c r="K68" s="135"/>
      <c r="L68" s="135"/>
      <c r="M68" s="135"/>
      <c r="N68" s="135"/>
      <c r="O68" s="135"/>
    </row>
    <row r="69" spans="1:15" ht="12">
      <c r="A69" s="135"/>
      <c r="B69" s="135"/>
      <c r="C69" s="135"/>
      <c r="D69" s="135"/>
      <c r="E69" s="135"/>
      <c r="F69" s="135"/>
      <c r="G69" s="135"/>
      <c r="H69" s="135"/>
      <c r="I69" s="135"/>
      <c r="J69" s="135"/>
      <c r="K69" s="135"/>
      <c r="L69" s="135"/>
      <c r="M69" s="135"/>
      <c r="N69" s="135"/>
      <c r="O69" s="135"/>
    </row>
    <row r="70" spans="1:15" ht="12">
      <c r="A70" s="135"/>
      <c r="B70" s="135"/>
      <c r="C70" s="135"/>
      <c r="D70" s="135"/>
      <c r="E70" s="135"/>
      <c r="F70" s="135"/>
      <c r="G70" s="135"/>
      <c r="H70" s="135"/>
      <c r="I70" s="135"/>
      <c r="J70" s="135"/>
      <c r="K70" s="135"/>
      <c r="L70" s="135"/>
      <c r="M70" s="135"/>
      <c r="N70" s="135"/>
      <c r="O70" s="135"/>
    </row>
    <row r="71" spans="1:15" ht="12">
      <c r="A71" s="135"/>
      <c r="B71" s="135"/>
      <c r="C71" s="135"/>
      <c r="D71" s="135"/>
      <c r="E71" s="135"/>
      <c r="F71" s="135"/>
      <c r="G71" s="135"/>
      <c r="H71" s="135"/>
      <c r="I71" s="135"/>
      <c r="J71" s="135"/>
      <c r="K71" s="135"/>
      <c r="L71" s="135"/>
      <c r="M71" s="135"/>
      <c r="N71" s="135"/>
      <c r="O71" s="135"/>
    </row>
    <row r="72" spans="1:15" ht="12">
      <c r="A72" s="135"/>
      <c r="B72" s="135"/>
      <c r="C72" s="135"/>
      <c r="D72" s="135"/>
      <c r="E72" s="135"/>
      <c r="F72" s="135"/>
      <c r="G72" s="135"/>
      <c r="H72" s="135"/>
      <c r="I72" s="135"/>
      <c r="J72" s="135"/>
      <c r="K72" s="135"/>
      <c r="L72" s="135"/>
      <c r="M72" s="135"/>
      <c r="N72" s="135"/>
      <c r="O72" s="135"/>
    </row>
  </sheetData>
  <sheetProtection password="D8FD" sheet="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oglio8"/>
  <dimension ref="A1:AG69"/>
  <sheetViews>
    <sheetView zoomScalePageLayoutView="0" workbookViewId="0" topLeftCell="A25">
      <selection activeCell="B47" sqref="B47"/>
    </sheetView>
  </sheetViews>
  <sheetFormatPr defaultColWidth="9.140625" defaultRowHeight="12.75"/>
  <cols>
    <col min="1" max="1" width="4.140625" style="0" customWidth="1"/>
    <col min="2" max="2" width="105.8515625" style="0" customWidth="1"/>
    <col min="3" max="3" width="4.421875" style="0" customWidth="1"/>
  </cols>
  <sheetData>
    <row r="1" spans="1:33" ht="17.25">
      <c r="A1" s="1"/>
      <c r="B1" s="1"/>
      <c r="C1" s="1"/>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row>
    <row r="2" spans="1:33" ht="17.25">
      <c r="A2" s="1"/>
      <c r="B2" s="289" t="s">
        <v>584</v>
      </c>
      <c r="C2" s="1"/>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row>
    <row r="3" spans="1:33" ht="17.25">
      <c r="A3" s="1"/>
      <c r="B3" s="289" t="s">
        <v>570</v>
      </c>
      <c r="C3" s="1"/>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17.25">
      <c r="A4" s="1"/>
      <c r="B4" s="289"/>
      <c r="C4" s="1"/>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row>
    <row r="5" spans="1:33" ht="18">
      <c r="A5" s="1"/>
      <c r="B5" s="589" t="s">
        <v>523</v>
      </c>
      <c r="C5" s="1"/>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row>
    <row r="6" spans="1:33" ht="17.25">
      <c r="A6" s="1"/>
      <c r="B6" s="289"/>
      <c r="C6" s="1"/>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row>
    <row r="7" spans="1:33" ht="17.25">
      <c r="A7" s="1"/>
      <c r="B7" s="292" t="s">
        <v>278</v>
      </c>
      <c r="C7" s="1"/>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row>
    <row r="8" spans="1:33" ht="17.25">
      <c r="A8" s="1"/>
      <c r="B8" s="290" t="s">
        <v>507</v>
      </c>
      <c r="C8" s="1"/>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row>
    <row r="9" spans="1:33" ht="17.25">
      <c r="A9" s="1"/>
      <c r="B9" s="290" t="s">
        <v>585</v>
      </c>
      <c r="C9" s="1"/>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row>
    <row r="10" spans="1:33" ht="17.25">
      <c r="A10" s="1"/>
      <c r="B10" s="290" t="s">
        <v>511</v>
      </c>
      <c r="C10" s="1"/>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row>
    <row r="11" spans="1:33" ht="17.25">
      <c r="A11" s="1"/>
      <c r="B11" s="290" t="s">
        <v>512</v>
      </c>
      <c r="C11" s="1"/>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row>
    <row r="12" spans="1:33" ht="17.25">
      <c r="A12" s="1"/>
      <c r="B12" s="290" t="s">
        <v>586</v>
      </c>
      <c r="C12" s="1"/>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row>
    <row r="13" spans="1:33" ht="17.25">
      <c r="A13" s="1"/>
      <c r="B13" s="290"/>
      <c r="C13" s="1"/>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row>
    <row r="14" spans="1:33" ht="17.25">
      <c r="A14" s="1"/>
      <c r="B14" s="292" t="s">
        <v>279</v>
      </c>
      <c r="C14" s="1"/>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row>
    <row r="15" spans="1:33" ht="17.25">
      <c r="A15" s="1"/>
      <c r="B15" s="290" t="s">
        <v>508</v>
      </c>
      <c r="C15" s="1"/>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row>
    <row r="16" spans="1:33" ht="17.25">
      <c r="A16" s="1"/>
      <c r="B16" s="290" t="s">
        <v>509</v>
      </c>
      <c r="C16" s="1"/>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row>
    <row r="17" spans="1:33" ht="17.25">
      <c r="A17" s="1"/>
      <c r="B17" s="290" t="s">
        <v>511</v>
      </c>
      <c r="C17" s="1"/>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row>
    <row r="18" spans="1:33" ht="17.25">
      <c r="A18" s="1"/>
      <c r="B18" s="290" t="s">
        <v>513</v>
      </c>
      <c r="C18" s="1"/>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row>
    <row r="19" spans="1:33" ht="17.25">
      <c r="A19" s="1"/>
      <c r="B19" s="290"/>
      <c r="C19" s="1"/>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row>
    <row r="20" spans="1:33" ht="17.25">
      <c r="A20" s="1"/>
      <c r="B20" s="292"/>
      <c r="C20" s="1"/>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row>
    <row r="21" spans="1:33" ht="17.25">
      <c r="A21" s="1"/>
      <c r="B21" s="292" t="s">
        <v>510</v>
      </c>
      <c r="C21" s="1"/>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row>
    <row r="22" spans="1:33" ht="17.25">
      <c r="A22" s="1"/>
      <c r="B22" s="290" t="s">
        <v>530</v>
      </c>
      <c r="C22" s="1"/>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row>
    <row r="23" spans="1:33" ht="17.25">
      <c r="A23" s="1"/>
      <c r="B23" s="290" t="s">
        <v>531</v>
      </c>
      <c r="C23" s="1"/>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row>
    <row r="24" spans="1:33" ht="17.25">
      <c r="A24" s="1"/>
      <c r="B24" s="290" t="s">
        <v>532</v>
      </c>
      <c r="C24" s="1"/>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row>
    <row r="25" spans="1:33" ht="17.25">
      <c r="A25" s="1"/>
      <c r="B25" s="290" t="s">
        <v>587</v>
      </c>
      <c r="C25" s="1"/>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row>
    <row r="26" spans="1:33" ht="17.25">
      <c r="A26" s="1"/>
      <c r="B26" s="290" t="s">
        <v>571</v>
      </c>
      <c r="C26" s="1"/>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row>
    <row r="27" spans="1:33" ht="17.25">
      <c r="A27" s="1"/>
      <c r="B27" s="290"/>
      <c r="C27" s="1"/>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row>
    <row r="28" spans="1:33" ht="17.25">
      <c r="A28" s="1"/>
      <c r="B28" s="292" t="s">
        <v>146</v>
      </c>
      <c r="C28" s="1"/>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row>
    <row r="29" spans="1:33" ht="17.25">
      <c r="A29" s="1"/>
      <c r="B29" s="290" t="s">
        <v>280</v>
      </c>
      <c r="C29" s="1"/>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row>
    <row r="30" spans="1:33" ht="17.25">
      <c r="A30" s="1"/>
      <c r="B30" s="290" t="s">
        <v>572</v>
      </c>
      <c r="C30" s="1"/>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row>
    <row r="31" spans="1:33" ht="17.25">
      <c r="A31" s="1"/>
      <c r="B31" s="290" t="s">
        <v>573</v>
      </c>
      <c r="C31" s="1"/>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row>
    <row r="32" spans="1:33" ht="17.25">
      <c r="A32" s="1"/>
      <c r="B32" s="290"/>
      <c r="C32" s="1"/>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row>
    <row r="33" spans="1:33" ht="17.25">
      <c r="A33" s="1"/>
      <c r="B33" s="300" t="s">
        <v>281</v>
      </c>
      <c r="C33" s="1"/>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row>
    <row r="34" spans="1:33" ht="17.25">
      <c r="A34" s="1"/>
      <c r="B34" s="302" t="s">
        <v>574</v>
      </c>
      <c r="C34" s="1"/>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row>
    <row r="35" spans="1:33" ht="17.25">
      <c r="A35" s="1"/>
      <c r="B35" s="301" t="s">
        <v>456</v>
      </c>
      <c r="C35" s="1"/>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row>
    <row r="36" spans="1:33" ht="17.25">
      <c r="A36" s="1"/>
      <c r="B36" s="301" t="s">
        <v>457</v>
      </c>
      <c r="C36" s="1"/>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row>
    <row r="37" spans="1:33" ht="17.25">
      <c r="A37" s="1"/>
      <c r="B37" s="301" t="s">
        <v>575</v>
      </c>
      <c r="C37" s="1"/>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row>
    <row r="38" spans="1:33" ht="17.25">
      <c r="A38" s="1"/>
      <c r="B38" s="301" t="s">
        <v>576</v>
      </c>
      <c r="C38" s="1"/>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row>
    <row r="39" spans="1:33" ht="17.25">
      <c r="A39" s="1"/>
      <c r="B39" s="301"/>
      <c r="C39" s="1"/>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row>
    <row r="40" spans="1:33" ht="17.25">
      <c r="A40" s="1"/>
      <c r="B40" s="302" t="s">
        <v>588</v>
      </c>
      <c r="C40" s="1"/>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row>
    <row r="41" spans="1:33" ht="17.25">
      <c r="A41" s="1"/>
      <c r="B41" s="301" t="s">
        <v>458</v>
      </c>
      <c r="C41" s="1"/>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row>
    <row r="42" spans="1:33" ht="17.25">
      <c r="A42" s="1"/>
      <c r="B42" s="292" t="s">
        <v>577</v>
      </c>
      <c r="C42" s="1"/>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row>
    <row r="43" spans="1:33" ht="17.25">
      <c r="A43" s="1"/>
      <c r="B43" s="291"/>
      <c r="C43" s="1"/>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row>
    <row r="44" spans="1:33" ht="17.25">
      <c r="A44" s="1"/>
      <c r="B44" s="638" t="s">
        <v>578</v>
      </c>
      <c r="C44" s="1"/>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row>
    <row r="45" spans="1:33" ht="17.25">
      <c r="A45" s="1"/>
      <c r="B45" s="1"/>
      <c r="C45" s="1"/>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row>
    <row r="46" spans="1:33" ht="17.25">
      <c r="A46" s="1"/>
      <c r="B46" s="1"/>
      <c r="C46" s="1"/>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row>
    <row r="47" spans="1:33" ht="17.25">
      <c r="A47" s="289"/>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row>
    <row r="48" spans="1:33" ht="17.25">
      <c r="A48" s="289"/>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row>
    <row r="49" spans="1:33" ht="17.25">
      <c r="A49" s="289"/>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row>
    <row r="50" spans="1:33" ht="17.25">
      <c r="A50" s="289"/>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row>
    <row r="51" spans="1:33" ht="17.25">
      <c r="A51" s="289"/>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row>
    <row r="52" spans="1:33" ht="17.25">
      <c r="A52" s="289"/>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row>
    <row r="53" spans="1:33" ht="17.25">
      <c r="A53" s="289"/>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row>
    <row r="54" spans="1:33" ht="17.25">
      <c r="A54" s="289"/>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row>
    <row r="55" spans="1:33" ht="17.25">
      <c r="A55" s="289"/>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row>
    <row r="56" spans="1:33" ht="17.25">
      <c r="A56" s="289"/>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row>
    <row r="57" spans="1:33" ht="17.25">
      <c r="A57" s="289"/>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row>
    <row r="58" spans="1:33" ht="17.25">
      <c r="A58" s="289"/>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row>
    <row r="59" spans="1:33" ht="17.25">
      <c r="A59" s="289"/>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row>
    <row r="60" spans="1:33" ht="17.25">
      <c r="A60" s="289"/>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row>
    <row r="61" spans="1:33" ht="17.25">
      <c r="A61" s="289"/>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row>
    <row r="62" spans="1:33" ht="17.25">
      <c r="A62" s="289"/>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row>
    <row r="63" spans="1:33" ht="17.25">
      <c r="A63" s="289"/>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row>
    <row r="64" spans="1:33" ht="17.25">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row>
    <row r="65" spans="1:33" ht="17.25">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row>
    <row r="66" spans="1:33" ht="17.25">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row>
    <row r="67" spans="1:33" ht="17.25">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row>
    <row r="68" spans="1:33" ht="17.25">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row>
    <row r="69" spans="1:33" ht="17.25">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row>
  </sheetData>
  <sheetProtection password="D8FD" sheet="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oglio2"/>
  <dimension ref="A1:AP371"/>
  <sheetViews>
    <sheetView showGridLines="0" zoomScalePageLayoutView="0" workbookViewId="0" topLeftCell="A1">
      <selection activeCell="A1" sqref="A1"/>
    </sheetView>
  </sheetViews>
  <sheetFormatPr defaultColWidth="9.140625" defaultRowHeight="12.75"/>
  <cols>
    <col min="1" max="1" width="49.28125" style="0" customWidth="1"/>
    <col min="2" max="2" width="12.421875" style="3" customWidth="1"/>
    <col min="3" max="3" width="15.28125" style="0" customWidth="1"/>
    <col min="4" max="6" width="6.7109375" style="0" customWidth="1"/>
    <col min="7" max="7" width="6.57421875" style="0" customWidth="1"/>
    <col min="8" max="8" width="11.7109375" style="0" customWidth="1"/>
    <col min="9" max="9" width="24.7109375" style="0" customWidth="1"/>
    <col min="10" max="10" width="11.57421875" style="0" customWidth="1"/>
    <col min="11" max="11" width="33.28125" style="0" hidden="1" customWidth="1"/>
    <col min="12" max="12" width="12.57421875" style="0" hidden="1" customWidth="1"/>
    <col min="13" max="13" width="12.8515625" style="0" hidden="1" customWidth="1"/>
    <col min="14" max="14" width="2.140625" style="0" hidden="1" customWidth="1"/>
    <col min="15" max="15" width="13.8515625" style="0" hidden="1" customWidth="1"/>
    <col min="16" max="16" width="11.57421875" style="0" hidden="1" customWidth="1"/>
    <col min="17" max="17" width="12.421875" style="0" hidden="1" customWidth="1"/>
    <col min="18" max="18" width="10.28125" style="0" hidden="1" customWidth="1"/>
    <col min="19" max="20" width="5.8515625" style="0" customWidth="1"/>
    <col min="21" max="21" width="9.28125" style="0" customWidth="1"/>
    <col min="22" max="22" width="1.7109375" style="0" customWidth="1"/>
    <col min="23" max="24" width="5.8515625" style="0" customWidth="1"/>
    <col min="25" max="25" width="9.28125" style="0" customWidth="1"/>
    <col min="26" max="26" width="1.7109375" style="0" customWidth="1"/>
    <col min="27" max="27" width="6.421875" style="0" customWidth="1"/>
    <col min="28" max="28" width="6.7109375" style="0" customWidth="1"/>
    <col min="29" max="30" width="10.7109375" style="0" customWidth="1"/>
    <col min="31" max="31" width="10.57421875" style="0" customWidth="1"/>
    <col min="32" max="34" width="7.7109375" style="0" customWidth="1"/>
    <col min="35" max="35" width="19.7109375" style="0" customWidth="1"/>
    <col min="36" max="43" width="20.7109375" style="0" customWidth="1"/>
  </cols>
  <sheetData>
    <row r="1" spans="1:42" ht="33">
      <c r="A1" s="10" t="s">
        <v>583</v>
      </c>
      <c r="B1" s="7"/>
      <c r="C1" s="8"/>
      <c r="D1" s="8"/>
      <c r="E1" s="8"/>
      <c r="F1" s="8"/>
      <c r="G1" s="8"/>
      <c r="H1" s="8"/>
      <c r="I1" s="12"/>
      <c r="J1" s="12"/>
      <c r="K1" s="12"/>
      <c r="L1" s="12"/>
      <c r="M1" s="12"/>
      <c r="N1" s="12"/>
      <c r="O1" s="11"/>
      <c r="P1" s="12"/>
      <c r="Q1" s="11"/>
      <c r="R1" s="11"/>
      <c r="S1" s="11"/>
      <c r="T1" s="11"/>
      <c r="U1" s="11"/>
      <c r="V1" s="11"/>
      <c r="W1" s="11"/>
      <c r="X1" s="11"/>
      <c r="Y1" s="11"/>
      <c r="Z1" s="11"/>
      <c r="AA1" s="11"/>
      <c r="AB1" s="11"/>
      <c r="AC1" s="11"/>
      <c r="AD1" s="11"/>
      <c r="AE1" s="11"/>
      <c r="AF1" s="11"/>
      <c r="AG1" s="11"/>
      <c r="AH1" s="11"/>
      <c r="AI1" s="11"/>
      <c r="AJ1" s="11"/>
      <c r="AK1" s="11"/>
      <c r="AL1" s="11"/>
      <c r="AM1" s="11"/>
      <c r="AN1" s="134"/>
      <c r="AO1" s="134"/>
      <c r="AP1" s="134"/>
    </row>
    <row r="2" spans="1:42" ht="23.25">
      <c r="A2" s="281" t="s">
        <v>498</v>
      </c>
      <c r="B2" s="7"/>
      <c r="C2" s="8"/>
      <c r="D2" s="8"/>
      <c r="E2" s="8"/>
      <c r="F2" s="8"/>
      <c r="G2" s="8"/>
      <c r="H2" s="8"/>
      <c r="I2" s="12"/>
      <c r="J2" s="12"/>
      <c r="K2" s="12"/>
      <c r="L2" s="12"/>
      <c r="M2" s="12"/>
      <c r="N2" s="12"/>
      <c r="O2" s="11"/>
      <c r="P2" s="12"/>
      <c r="Q2" s="11"/>
      <c r="R2" s="11"/>
      <c r="S2" s="11"/>
      <c r="T2" s="11"/>
      <c r="U2" s="11"/>
      <c r="V2" s="11"/>
      <c r="W2" s="11"/>
      <c r="X2" s="11"/>
      <c r="Y2" s="11"/>
      <c r="Z2" s="11"/>
      <c r="AA2" s="11"/>
      <c r="AB2" s="11"/>
      <c r="AC2" s="11"/>
      <c r="AD2" s="11"/>
      <c r="AE2" s="11"/>
      <c r="AF2" s="11"/>
      <c r="AG2" s="11"/>
      <c r="AH2" s="11"/>
      <c r="AI2" s="11"/>
      <c r="AJ2" s="11"/>
      <c r="AK2" s="11"/>
      <c r="AL2" s="11"/>
      <c r="AM2" s="11"/>
      <c r="AN2" s="134"/>
      <c r="AO2" s="134"/>
      <c r="AP2" s="134"/>
    </row>
    <row r="3" spans="1:42" ht="23.25">
      <c r="A3" s="584" t="s">
        <v>505</v>
      </c>
      <c r="B3" s="7"/>
      <c r="C3" s="8"/>
      <c r="D3" s="8"/>
      <c r="E3" s="8"/>
      <c r="F3" s="8"/>
      <c r="G3" s="8"/>
      <c r="H3" s="8"/>
      <c r="I3" s="12"/>
      <c r="J3" s="12"/>
      <c r="K3" s="12"/>
      <c r="L3" s="12"/>
      <c r="M3" s="12"/>
      <c r="N3" s="12"/>
      <c r="O3" s="11"/>
      <c r="P3" s="12"/>
      <c r="Q3" s="11"/>
      <c r="R3" s="11"/>
      <c r="S3" s="11"/>
      <c r="T3" s="11"/>
      <c r="U3" s="11"/>
      <c r="V3" s="11"/>
      <c r="W3" s="11"/>
      <c r="X3" s="11"/>
      <c r="Y3" s="11"/>
      <c r="Z3" s="11"/>
      <c r="AA3" s="11"/>
      <c r="AB3" s="11"/>
      <c r="AC3" s="11"/>
      <c r="AD3" s="11"/>
      <c r="AE3" s="11"/>
      <c r="AF3" s="11"/>
      <c r="AG3" s="11"/>
      <c r="AH3" s="11"/>
      <c r="AI3" s="11"/>
      <c r="AJ3" s="11"/>
      <c r="AK3" s="11"/>
      <c r="AL3" s="11"/>
      <c r="AM3" s="11"/>
      <c r="AN3" s="134"/>
      <c r="AO3" s="134"/>
      <c r="AP3" s="134"/>
    </row>
    <row r="4" spans="1:42" ht="24" customHeight="1">
      <c r="A4" s="584" t="s">
        <v>589</v>
      </c>
      <c r="B4" s="7"/>
      <c r="C4" s="8"/>
      <c r="D4" s="8"/>
      <c r="E4" s="8"/>
      <c r="F4" s="8"/>
      <c r="G4" s="8"/>
      <c r="H4" s="8"/>
      <c r="I4" s="12"/>
      <c r="J4" s="12"/>
      <c r="K4" s="12"/>
      <c r="L4" s="12"/>
      <c r="M4" s="12"/>
      <c r="N4" s="12"/>
      <c r="O4" s="11"/>
      <c r="P4" s="12"/>
      <c r="Q4" s="11"/>
      <c r="R4" s="11"/>
      <c r="S4" s="11"/>
      <c r="T4" s="11"/>
      <c r="U4" s="11"/>
      <c r="V4" s="11"/>
      <c r="W4" s="11"/>
      <c r="X4" s="11"/>
      <c r="Y4" s="11"/>
      <c r="Z4" s="11"/>
      <c r="AA4" s="11"/>
      <c r="AB4" s="11"/>
      <c r="AC4" s="11"/>
      <c r="AD4" s="11"/>
      <c r="AE4" s="11"/>
      <c r="AF4" s="11"/>
      <c r="AG4" s="11"/>
      <c r="AH4" s="11"/>
      <c r="AI4" s="11"/>
      <c r="AJ4" s="11"/>
      <c r="AK4" s="11"/>
      <c r="AL4" s="11"/>
      <c r="AM4" s="11"/>
      <c r="AN4" s="134"/>
      <c r="AO4" s="134"/>
      <c r="AP4" s="134"/>
    </row>
    <row r="5" spans="1:42" s="2" customFormat="1" ht="18.75" customHeight="1">
      <c r="A5" s="596" t="str">
        <f>Istruzioni!B38</f>
        <v>minapoli software</v>
      </c>
      <c r="B5" s="9"/>
      <c r="C5" s="5"/>
      <c r="D5" s="5"/>
      <c r="E5" s="5"/>
      <c r="F5" s="5"/>
      <c r="G5" s="5"/>
      <c r="H5" s="5"/>
      <c r="I5" s="12"/>
      <c r="J5" s="12"/>
      <c r="K5" s="12"/>
      <c r="L5" s="12"/>
      <c r="M5" s="12"/>
      <c r="N5" s="12"/>
      <c r="O5" s="11"/>
      <c r="P5" s="12"/>
      <c r="Q5" s="11"/>
      <c r="R5" s="11"/>
      <c r="S5" s="11"/>
      <c r="T5" s="11"/>
      <c r="U5" s="11"/>
      <c r="V5" s="11"/>
      <c r="W5" s="11"/>
      <c r="X5" s="11"/>
      <c r="Y5" s="11"/>
      <c r="Z5" s="11"/>
      <c r="AA5" s="11"/>
      <c r="AB5" s="11"/>
      <c r="AC5" s="11"/>
      <c r="AD5" s="11"/>
      <c r="AE5" s="11"/>
      <c r="AF5" s="11"/>
      <c r="AG5" s="11"/>
      <c r="AH5" s="11"/>
      <c r="AI5" s="11"/>
      <c r="AJ5" s="11"/>
      <c r="AK5" s="11"/>
      <c r="AL5" s="11"/>
      <c r="AM5" s="11"/>
      <c r="AN5" s="134"/>
      <c r="AO5" s="134"/>
      <c r="AP5" s="134"/>
    </row>
    <row r="6" spans="1:42" ht="17.25" customHeight="1">
      <c r="A6" s="18" t="s">
        <v>131</v>
      </c>
      <c r="B6" s="9"/>
      <c r="C6" s="5"/>
      <c r="D6" s="5"/>
      <c r="E6" s="5"/>
      <c r="F6" s="5"/>
      <c r="G6" s="5"/>
      <c r="H6" s="5"/>
      <c r="I6" s="12"/>
      <c r="J6" s="12"/>
      <c r="K6" s="12"/>
      <c r="L6" s="12"/>
      <c r="M6" s="12"/>
      <c r="N6" s="12"/>
      <c r="O6" s="11"/>
      <c r="P6" s="12"/>
      <c r="Q6" s="11"/>
      <c r="R6" s="11"/>
      <c r="S6" s="11"/>
      <c r="T6" s="11"/>
      <c r="U6" s="11"/>
      <c r="V6" s="11"/>
      <c r="W6" s="11"/>
      <c r="X6" s="11"/>
      <c r="Y6" s="11"/>
      <c r="Z6" s="11"/>
      <c r="AA6" s="11"/>
      <c r="AB6" s="11"/>
      <c r="AC6" s="11"/>
      <c r="AD6" s="11"/>
      <c r="AE6" s="11"/>
      <c r="AF6" s="11"/>
      <c r="AG6" s="11"/>
      <c r="AH6" s="11"/>
      <c r="AI6" s="11"/>
      <c r="AJ6" s="11"/>
      <c r="AK6" s="11"/>
      <c r="AL6" s="11"/>
      <c r="AM6" s="11"/>
      <c r="AN6" s="134"/>
      <c r="AO6" s="134"/>
      <c r="AP6" s="134"/>
    </row>
    <row r="7" spans="1:42" ht="15" customHeight="1">
      <c r="A7" s="639" t="s">
        <v>124</v>
      </c>
      <c r="B7" s="9"/>
      <c r="C7" s="5"/>
      <c r="D7" s="5"/>
      <c r="E7" s="5"/>
      <c r="F7" s="5"/>
      <c r="G7" s="5"/>
      <c r="H7" s="5"/>
      <c r="I7" s="12"/>
      <c r="J7" s="12"/>
      <c r="K7" s="12"/>
      <c r="L7" s="12"/>
      <c r="M7" s="12"/>
      <c r="N7" s="12"/>
      <c r="O7" s="11"/>
      <c r="P7" s="12"/>
      <c r="Q7" s="11"/>
      <c r="R7" s="11"/>
      <c r="S7" s="11"/>
      <c r="T7" s="11"/>
      <c r="U7" s="11"/>
      <c r="V7" s="11"/>
      <c r="W7" s="11"/>
      <c r="X7" s="11"/>
      <c r="Y7" s="11"/>
      <c r="Z7" s="11"/>
      <c r="AA7" s="11"/>
      <c r="AB7" s="11"/>
      <c r="AC7" s="11"/>
      <c r="AD7" s="11"/>
      <c r="AE7" s="11"/>
      <c r="AF7" s="11"/>
      <c r="AG7" s="11"/>
      <c r="AH7" s="11"/>
      <c r="AI7" s="11"/>
      <c r="AJ7" s="11"/>
      <c r="AK7" s="11"/>
      <c r="AL7" s="11"/>
      <c r="AM7" s="11"/>
      <c r="AN7" s="134"/>
      <c r="AO7" s="134"/>
      <c r="AP7" s="134"/>
    </row>
    <row r="8" spans="1:42" ht="16.5" customHeight="1">
      <c r="A8" s="65"/>
      <c r="B8" s="9"/>
      <c r="C8" s="5"/>
      <c r="D8" s="5"/>
      <c r="E8" s="5"/>
      <c r="F8" s="5"/>
      <c r="G8" s="5"/>
      <c r="H8" s="5"/>
      <c r="I8" s="12"/>
      <c r="J8" s="12"/>
      <c r="K8" s="12"/>
      <c r="L8" s="12"/>
      <c r="M8" s="12"/>
      <c r="N8" s="12"/>
      <c r="O8" s="11"/>
      <c r="P8" s="12"/>
      <c r="Q8" s="11"/>
      <c r="R8" s="11"/>
      <c r="S8" s="11"/>
      <c r="T8" s="11"/>
      <c r="U8" s="11"/>
      <c r="V8" s="11"/>
      <c r="W8" s="11"/>
      <c r="X8" s="11"/>
      <c r="Y8" s="11"/>
      <c r="Z8" s="11"/>
      <c r="AA8" s="11"/>
      <c r="AB8" s="11"/>
      <c r="AC8" s="11"/>
      <c r="AD8" s="11"/>
      <c r="AE8" s="11"/>
      <c r="AF8" s="11"/>
      <c r="AG8" s="11"/>
      <c r="AH8" s="11"/>
      <c r="AI8" s="11"/>
      <c r="AJ8" s="11"/>
      <c r="AK8" s="11"/>
      <c r="AL8" s="11"/>
      <c r="AM8" s="11"/>
      <c r="AN8" s="134"/>
      <c r="AO8" s="134"/>
      <c r="AP8" s="134"/>
    </row>
    <row r="9" spans="1:42" ht="16.5" customHeight="1">
      <c r="A9" s="5" t="s">
        <v>25</v>
      </c>
      <c r="B9" s="9"/>
      <c r="C9" s="5"/>
      <c r="D9" s="5"/>
      <c r="E9" s="5"/>
      <c r="F9" s="5"/>
      <c r="G9" s="5"/>
      <c r="H9" s="5"/>
      <c r="I9" s="12"/>
      <c r="J9" s="12"/>
      <c r="K9" s="12"/>
      <c r="L9" s="12"/>
      <c r="M9" s="12"/>
      <c r="N9" s="12"/>
      <c r="O9" s="11"/>
      <c r="P9" s="12"/>
      <c r="Q9" s="11"/>
      <c r="R9" s="11"/>
      <c r="S9" s="11"/>
      <c r="T9" s="11"/>
      <c r="U9" s="11"/>
      <c r="V9" s="11"/>
      <c r="W9" s="11"/>
      <c r="X9" s="11"/>
      <c r="Y9" s="11"/>
      <c r="Z9" s="11"/>
      <c r="AA9" s="11"/>
      <c r="AB9" s="11"/>
      <c r="AC9" s="11"/>
      <c r="AD9" s="11"/>
      <c r="AE9" s="11"/>
      <c r="AF9" s="11"/>
      <c r="AG9" s="11"/>
      <c r="AH9" s="11"/>
      <c r="AI9" s="11"/>
      <c r="AJ9" s="11"/>
      <c r="AK9" s="11"/>
      <c r="AL9" s="11"/>
      <c r="AM9" s="11"/>
      <c r="AN9" s="134"/>
      <c r="AO9" s="134"/>
      <c r="AP9" s="134"/>
    </row>
    <row r="10" spans="1:42" ht="18" customHeight="1">
      <c r="A10" s="118" t="s">
        <v>504</v>
      </c>
      <c r="B10" s="9"/>
      <c r="C10" s="5"/>
      <c r="D10" s="5"/>
      <c r="E10" s="5"/>
      <c r="F10" s="5"/>
      <c r="G10" s="5"/>
      <c r="H10" s="5"/>
      <c r="I10" s="12"/>
      <c r="J10" s="12"/>
      <c r="K10" s="12"/>
      <c r="L10" s="12"/>
      <c r="M10" s="12"/>
      <c r="N10" s="12"/>
      <c r="O10" s="11"/>
      <c r="P10" s="12"/>
      <c r="Q10" s="11"/>
      <c r="R10" s="11"/>
      <c r="S10" s="11"/>
      <c r="T10" s="11"/>
      <c r="U10" s="11"/>
      <c r="V10" s="11"/>
      <c r="W10" s="11"/>
      <c r="X10" s="11"/>
      <c r="Y10" s="11"/>
      <c r="Z10" s="11"/>
      <c r="AA10" s="11"/>
      <c r="AB10" s="11"/>
      <c r="AC10" s="11"/>
      <c r="AD10" s="11"/>
      <c r="AE10" s="11"/>
      <c r="AF10" s="11"/>
      <c r="AG10" s="11"/>
      <c r="AH10" s="11"/>
      <c r="AI10" s="11"/>
      <c r="AJ10" s="11"/>
      <c r="AK10" s="11"/>
      <c r="AL10" s="11"/>
      <c r="AM10" s="11"/>
      <c r="AN10" s="134"/>
      <c r="AO10" s="134"/>
      <c r="AP10" s="134"/>
    </row>
    <row r="11" spans="1:42" ht="12.75" customHeight="1">
      <c r="A11" s="5"/>
      <c r="B11" s="9"/>
      <c r="C11" s="5"/>
      <c r="D11" s="5"/>
      <c r="E11" s="5"/>
      <c r="F11" s="5"/>
      <c r="G11" s="5"/>
      <c r="H11" s="5"/>
      <c r="I11" s="12"/>
      <c r="J11" s="12"/>
      <c r="K11" s="12"/>
      <c r="L11" s="12"/>
      <c r="M11" s="12"/>
      <c r="N11" s="12"/>
      <c r="O11" s="11"/>
      <c r="P11" s="12"/>
      <c r="Q11" s="11"/>
      <c r="R11" s="11"/>
      <c r="S11" s="11"/>
      <c r="T11" s="11"/>
      <c r="U11" s="11"/>
      <c r="V11" s="11"/>
      <c r="W11" s="11"/>
      <c r="X11" s="11"/>
      <c r="Y11" s="11"/>
      <c r="Z11" s="11"/>
      <c r="AA11" s="11"/>
      <c r="AB11" s="11"/>
      <c r="AC11" s="11"/>
      <c r="AD11" s="11"/>
      <c r="AE11" s="11"/>
      <c r="AF11" s="11"/>
      <c r="AG11" s="11"/>
      <c r="AH11" s="11"/>
      <c r="AI11" s="11"/>
      <c r="AJ11" s="11"/>
      <c r="AK11" s="11"/>
      <c r="AL11" s="11"/>
      <c r="AM11" s="11"/>
      <c r="AN11" s="134"/>
      <c r="AO11" s="134"/>
      <c r="AP11" s="134"/>
    </row>
    <row r="12" spans="1:42" ht="12.75" customHeight="1">
      <c r="A12" s="5" t="s">
        <v>1</v>
      </c>
      <c r="B12" s="9"/>
      <c r="C12" s="72"/>
      <c r="D12" s="5"/>
      <c r="E12" s="5"/>
      <c r="F12" s="5"/>
      <c r="G12" s="5"/>
      <c r="H12" s="5"/>
      <c r="I12" s="12"/>
      <c r="J12" s="12"/>
      <c r="K12" s="12"/>
      <c r="L12" s="12"/>
      <c r="M12" s="12"/>
      <c r="N12" s="12"/>
      <c r="O12" s="11"/>
      <c r="P12" s="12"/>
      <c r="Q12" s="11"/>
      <c r="R12" s="11"/>
      <c r="S12" s="11"/>
      <c r="T12" s="11"/>
      <c r="U12" s="11"/>
      <c r="V12" s="11"/>
      <c r="W12" s="11"/>
      <c r="X12" s="11"/>
      <c r="Y12" s="11"/>
      <c r="Z12" s="11"/>
      <c r="AA12" s="11"/>
      <c r="AB12" s="11"/>
      <c r="AC12" s="11"/>
      <c r="AD12" s="11"/>
      <c r="AE12" s="11"/>
      <c r="AF12" s="11"/>
      <c r="AG12" s="11"/>
      <c r="AH12" s="11"/>
      <c r="AI12" s="11"/>
      <c r="AJ12" s="11"/>
      <c r="AK12" s="11"/>
      <c r="AL12" s="11"/>
      <c r="AM12" s="11"/>
      <c r="AN12" s="134"/>
      <c r="AO12" s="134"/>
      <c r="AP12" s="134"/>
    </row>
    <row r="13" spans="1:42" ht="15" customHeight="1">
      <c r="A13" s="118" t="s">
        <v>566</v>
      </c>
      <c r="B13" s="9"/>
      <c r="C13" s="121">
        <f>VALUE(LEFT(A13,1))</f>
        <v>5</v>
      </c>
      <c r="D13" s="5"/>
      <c r="E13" s="5"/>
      <c r="F13" s="5"/>
      <c r="G13" s="5"/>
      <c r="H13" s="5"/>
      <c r="I13" s="12"/>
      <c r="J13" s="12"/>
      <c r="K13" s="372" t="s">
        <v>562</v>
      </c>
      <c r="L13" s="484"/>
      <c r="M13" s="12"/>
      <c r="N13" s="12"/>
      <c r="O13" s="478">
        <f>E16</f>
        <v>2017</v>
      </c>
      <c r="P13" s="12"/>
      <c r="Q13" s="586">
        <f>YEAR(C15)*12+MONTH(C15)</f>
        <v>23427</v>
      </c>
      <c r="R13" s="11"/>
      <c r="S13" s="11"/>
      <c r="T13" s="11"/>
      <c r="U13" s="11"/>
      <c r="V13" s="11"/>
      <c r="W13" s="11"/>
      <c r="X13" s="11"/>
      <c r="Y13" s="11"/>
      <c r="Z13" s="11"/>
      <c r="AA13" s="11"/>
      <c r="AB13" s="11"/>
      <c r="AC13" s="11"/>
      <c r="AD13" s="11"/>
      <c r="AE13" s="11"/>
      <c r="AF13" s="11"/>
      <c r="AG13" s="11"/>
      <c r="AH13" s="11"/>
      <c r="AI13" s="11"/>
      <c r="AJ13" s="11"/>
      <c r="AK13" s="11"/>
      <c r="AL13" s="11"/>
      <c r="AM13" s="11"/>
      <c r="AN13" s="134"/>
      <c r="AO13" s="134"/>
      <c r="AP13" s="134"/>
    </row>
    <row r="14" spans="1:42" ht="15" customHeight="1">
      <c r="A14" s="9"/>
      <c r="B14" s="9"/>
      <c r="C14" s="72"/>
      <c r="D14" s="5"/>
      <c r="E14" s="5"/>
      <c r="F14" s="587" t="s">
        <v>3</v>
      </c>
      <c r="G14" s="587" t="s">
        <v>2</v>
      </c>
      <c r="H14" s="5"/>
      <c r="I14" s="12"/>
      <c r="J14" s="12"/>
      <c r="K14" s="374" t="s">
        <v>563</v>
      </c>
      <c r="L14" s="340"/>
      <c r="M14" s="12"/>
      <c r="N14" s="12"/>
      <c r="O14" s="479">
        <f>O13-1</f>
        <v>2016</v>
      </c>
      <c r="P14" s="12"/>
      <c r="Q14" s="268">
        <f>E16*12+8</f>
        <v>24212</v>
      </c>
      <c r="R14" s="11"/>
      <c r="S14" s="11"/>
      <c r="T14" s="11"/>
      <c r="U14" s="11"/>
      <c r="V14" s="11"/>
      <c r="W14" s="11"/>
      <c r="X14" s="11"/>
      <c r="Y14" s="11"/>
      <c r="Z14" s="11"/>
      <c r="AA14" s="11"/>
      <c r="AB14" s="11"/>
      <c r="AC14" s="11"/>
      <c r="AD14" s="11"/>
      <c r="AE14" s="11"/>
      <c r="AF14" s="11"/>
      <c r="AG14" s="11"/>
      <c r="AH14" s="11"/>
      <c r="AI14" s="11"/>
      <c r="AJ14" s="11"/>
      <c r="AK14" s="11"/>
      <c r="AL14" s="11"/>
      <c r="AM14" s="11"/>
      <c r="AN14" s="134"/>
      <c r="AO14" s="134"/>
      <c r="AP14" s="134"/>
    </row>
    <row r="15" spans="1:42" ht="15" customHeight="1">
      <c r="A15" s="585" t="s">
        <v>506</v>
      </c>
      <c r="B15" s="9"/>
      <c r="C15" s="588">
        <v>19065</v>
      </c>
      <c r="D15" s="5"/>
      <c r="E15" s="5"/>
      <c r="F15" s="68">
        <f>Q16</f>
        <v>65</v>
      </c>
      <c r="G15" s="68">
        <f>Q17</f>
        <v>6</v>
      </c>
      <c r="H15" s="5"/>
      <c r="I15" s="12"/>
      <c r="J15" s="12"/>
      <c r="K15" s="374" t="s">
        <v>564</v>
      </c>
      <c r="L15" s="340"/>
      <c r="M15" s="12"/>
      <c r="N15" s="12"/>
      <c r="O15" s="479">
        <f aca="true" t="shared" si="0" ref="O15:O20">O14-1</f>
        <v>2015</v>
      </c>
      <c r="P15" s="12"/>
      <c r="Q15" s="268">
        <f>Q14-Q13</f>
        <v>785</v>
      </c>
      <c r="R15" s="11"/>
      <c r="S15" s="11"/>
      <c r="T15" s="11"/>
      <c r="U15" s="11"/>
      <c r="V15" s="11"/>
      <c r="W15" s="11"/>
      <c r="X15" s="11"/>
      <c r="Y15" s="11"/>
      <c r="Z15" s="11"/>
      <c r="AA15" s="11"/>
      <c r="AB15" s="11"/>
      <c r="AC15" s="11"/>
      <c r="AD15" s="11"/>
      <c r="AE15" s="11"/>
      <c r="AF15" s="11"/>
      <c r="AG15" s="11"/>
      <c r="AH15" s="11"/>
      <c r="AI15" s="11"/>
      <c r="AJ15" s="11"/>
      <c r="AK15" s="11"/>
      <c r="AL15" s="11"/>
      <c r="AM15" s="11"/>
      <c r="AN15" s="134"/>
      <c r="AO15" s="134"/>
      <c r="AP15" s="134"/>
    </row>
    <row r="16" spans="1:42" ht="15" customHeight="1">
      <c r="A16" s="298" t="s">
        <v>260</v>
      </c>
      <c r="B16" s="9"/>
      <c r="C16" s="273">
        <v>42979</v>
      </c>
      <c r="D16" s="5"/>
      <c r="E16" s="68">
        <f>YEAR(C16)</f>
        <v>2017</v>
      </c>
      <c r="F16" s="491"/>
      <c r="G16" s="491"/>
      <c r="H16" s="5"/>
      <c r="I16" s="12"/>
      <c r="J16" s="12"/>
      <c r="K16" s="374" t="s">
        <v>565</v>
      </c>
      <c r="L16" s="340"/>
      <c r="M16" s="12"/>
      <c r="N16" s="12"/>
      <c r="O16" s="479">
        <f t="shared" si="0"/>
        <v>2014</v>
      </c>
      <c r="P16" s="12"/>
      <c r="Q16" s="268">
        <f>INT(Q15/12)</f>
        <v>65</v>
      </c>
      <c r="R16" s="11"/>
      <c r="S16" s="11"/>
      <c r="T16" s="11"/>
      <c r="U16" s="11"/>
      <c r="V16" s="11"/>
      <c r="W16" s="11"/>
      <c r="X16" s="11"/>
      <c r="Y16" s="11"/>
      <c r="Z16" s="11"/>
      <c r="AA16" s="11"/>
      <c r="AB16" s="11"/>
      <c r="AC16" s="11"/>
      <c r="AD16" s="11"/>
      <c r="AE16" s="11"/>
      <c r="AF16" s="11"/>
      <c r="AG16" s="11"/>
      <c r="AH16" s="11"/>
      <c r="AI16" s="11"/>
      <c r="AJ16" s="11"/>
      <c r="AK16" s="11"/>
      <c r="AL16" s="11"/>
      <c r="AM16" s="11"/>
      <c r="AN16" s="134"/>
      <c r="AO16" s="134"/>
      <c r="AP16" s="134"/>
    </row>
    <row r="17" spans="1:42" ht="15" customHeight="1">
      <c r="A17" s="5"/>
      <c r="B17" s="9"/>
      <c r="C17" s="5"/>
      <c r="D17" s="5"/>
      <c r="E17" s="5"/>
      <c r="F17" s="5"/>
      <c r="G17" s="5"/>
      <c r="H17" s="5"/>
      <c r="I17" s="12"/>
      <c r="J17" s="12"/>
      <c r="K17" s="374" t="s">
        <v>566</v>
      </c>
      <c r="L17" s="340"/>
      <c r="M17" s="12"/>
      <c r="N17" s="12"/>
      <c r="O17" s="479">
        <f t="shared" si="0"/>
        <v>2013</v>
      </c>
      <c r="P17" s="12"/>
      <c r="Q17" s="155">
        <f>Q15-Q16*12+Q19</f>
        <v>6</v>
      </c>
      <c r="R17" s="11"/>
      <c r="S17" s="11"/>
      <c r="T17" s="11"/>
      <c r="U17" s="11"/>
      <c r="V17" s="11"/>
      <c r="W17" s="11"/>
      <c r="X17" s="11"/>
      <c r="Y17" s="11"/>
      <c r="Z17" s="11"/>
      <c r="AA17" s="11"/>
      <c r="AB17" s="11"/>
      <c r="AC17" s="11"/>
      <c r="AD17" s="11"/>
      <c r="AE17" s="11"/>
      <c r="AF17" s="11"/>
      <c r="AG17" s="11"/>
      <c r="AH17" s="11"/>
      <c r="AI17" s="11"/>
      <c r="AJ17" s="11"/>
      <c r="AK17" s="11"/>
      <c r="AL17" s="11"/>
      <c r="AM17" s="11"/>
      <c r="AN17" s="134"/>
      <c r="AO17" s="134"/>
      <c r="AP17" s="134"/>
    </row>
    <row r="18" spans="1:42" ht="16.5" customHeight="1">
      <c r="A18" s="513" t="s">
        <v>470</v>
      </c>
      <c r="B18" s="672" t="s">
        <v>472</v>
      </c>
      <c r="C18" s="673"/>
      <c r="D18" s="5"/>
      <c r="E18" s="5"/>
      <c r="F18" s="5"/>
      <c r="G18" s="68">
        <f>IF(B18=K35,1,IF(B18=K36,2,3))</f>
        <v>2</v>
      </c>
      <c r="H18" s="5"/>
      <c r="I18" s="12"/>
      <c r="J18" s="12"/>
      <c r="K18" s="374" t="s">
        <v>567</v>
      </c>
      <c r="L18" s="340"/>
      <c r="M18" s="12"/>
      <c r="N18" s="12"/>
      <c r="O18" s="479">
        <f t="shared" si="0"/>
        <v>2012</v>
      </c>
      <c r="P18" s="12"/>
      <c r="Q18" s="586">
        <f>DAY(C15)</f>
        <v>12</v>
      </c>
      <c r="R18" s="11"/>
      <c r="S18" s="11"/>
      <c r="T18" s="11"/>
      <c r="U18" s="11"/>
      <c r="V18" s="11"/>
      <c r="W18" s="11"/>
      <c r="X18" s="11"/>
      <c r="Y18" s="11"/>
      <c r="Z18" s="11"/>
      <c r="AA18" s="11"/>
      <c r="AB18" s="11"/>
      <c r="AC18" s="11"/>
      <c r="AD18" s="11"/>
      <c r="AE18" s="11"/>
      <c r="AF18" s="11"/>
      <c r="AG18" s="11"/>
      <c r="AH18" s="11"/>
      <c r="AI18" s="11"/>
      <c r="AJ18" s="11"/>
      <c r="AK18" s="11"/>
      <c r="AL18" s="11"/>
      <c r="AM18" s="11"/>
      <c r="AN18" s="134"/>
      <c r="AO18" s="134"/>
      <c r="AP18" s="134"/>
    </row>
    <row r="19" spans="1:42" ht="12.75" customHeight="1">
      <c r="A19" s="5" t="s">
        <v>0</v>
      </c>
      <c r="B19" s="9"/>
      <c r="C19" s="5"/>
      <c r="D19" s="9" t="s">
        <v>3</v>
      </c>
      <c r="E19" s="9" t="s">
        <v>2</v>
      </c>
      <c r="F19" s="9" t="s">
        <v>13</v>
      </c>
      <c r="G19" s="5"/>
      <c r="H19" s="5"/>
      <c r="I19" s="12"/>
      <c r="J19" s="12"/>
      <c r="K19" s="374" t="s">
        <v>568</v>
      </c>
      <c r="L19" s="340"/>
      <c r="M19" s="12"/>
      <c r="N19" s="12"/>
      <c r="O19" s="479">
        <f t="shared" si="0"/>
        <v>2011</v>
      </c>
      <c r="P19" s="12"/>
      <c r="Q19" s="155">
        <f>IF(Q18&lt;15,1,0)</f>
        <v>1</v>
      </c>
      <c r="R19" s="11"/>
      <c r="S19" s="11"/>
      <c r="T19" s="11"/>
      <c r="U19" s="11"/>
      <c r="V19" s="11"/>
      <c r="W19" s="11"/>
      <c r="X19" s="11"/>
      <c r="Y19" s="11"/>
      <c r="Z19" s="11"/>
      <c r="AA19" s="11"/>
      <c r="AB19" s="11"/>
      <c r="AC19" s="11"/>
      <c r="AD19" s="11"/>
      <c r="AE19" s="11"/>
      <c r="AF19" s="11"/>
      <c r="AG19" s="11"/>
      <c r="AH19" s="11"/>
      <c r="AI19" s="11"/>
      <c r="AJ19" s="11"/>
      <c r="AK19" s="11"/>
      <c r="AL19" s="11"/>
      <c r="AM19" s="11"/>
      <c r="AN19" s="134"/>
      <c r="AO19" s="134"/>
      <c r="AP19" s="134"/>
    </row>
    <row r="20" spans="1:42" ht="12.75" customHeight="1">
      <c r="A20" s="5" t="s">
        <v>261</v>
      </c>
      <c r="B20" s="9"/>
      <c r="C20" s="5"/>
      <c r="D20" s="119">
        <v>36</v>
      </c>
      <c r="E20" s="119">
        <v>11</v>
      </c>
      <c r="F20" s="119">
        <v>12</v>
      </c>
      <c r="G20" s="604">
        <f>D20-16</f>
        <v>20</v>
      </c>
      <c r="H20" s="582"/>
      <c r="I20" s="12"/>
      <c r="J20" s="12"/>
      <c r="K20" s="376" t="s">
        <v>569</v>
      </c>
      <c r="L20" s="485"/>
      <c r="M20" s="12"/>
      <c r="N20" s="12"/>
      <c r="O20" s="480">
        <f t="shared" si="0"/>
        <v>2010</v>
      </c>
      <c r="P20" s="12"/>
      <c r="Q20" s="11"/>
      <c r="R20" s="11"/>
      <c r="S20" s="11"/>
      <c r="T20" s="11"/>
      <c r="U20" s="11"/>
      <c r="V20" s="11"/>
      <c r="W20" s="11"/>
      <c r="X20" s="11"/>
      <c r="Y20" s="11"/>
      <c r="Z20" s="11"/>
      <c r="AA20" s="11"/>
      <c r="AB20" s="11"/>
      <c r="AC20" s="11"/>
      <c r="AD20" s="11"/>
      <c r="AE20" s="11"/>
      <c r="AF20" s="11"/>
      <c r="AG20" s="11"/>
      <c r="AH20" s="11"/>
      <c r="AI20" s="11"/>
      <c r="AJ20" s="11"/>
      <c r="AK20" s="11"/>
      <c r="AL20" s="11"/>
      <c r="AM20" s="11"/>
      <c r="AN20" s="69"/>
      <c r="AO20" s="69"/>
      <c r="AP20" s="69"/>
    </row>
    <row r="21" spans="1:42" ht="12.75" customHeight="1">
      <c r="A21" s="5" t="s">
        <v>141</v>
      </c>
      <c r="B21" s="9"/>
      <c r="C21" s="5"/>
      <c r="D21" s="490">
        <f>D20-19</f>
        <v>17</v>
      </c>
      <c r="E21" s="387">
        <f>E20</f>
        <v>11</v>
      </c>
      <c r="F21" s="387">
        <f>F20</f>
        <v>12</v>
      </c>
      <c r="G21" s="568" t="s">
        <v>41</v>
      </c>
      <c r="H21" s="569"/>
      <c r="I21" s="12"/>
      <c r="J21" s="12"/>
      <c r="K21" s="12"/>
      <c r="L21" s="12"/>
      <c r="M21" s="12"/>
      <c r="N21" s="12"/>
      <c r="O21" s="481"/>
      <c r="P21" s="12"/>
      <c r="Q21" s="11"/>
      <c r="R21" s="11"/>
      <c r="S21" s="11"/>
      <c r="T21" s="11"/>
      <c r="U21" s="11"/>
      <c r="V21" s="11"/>
      <c r="W21" s="11"/>
      <c r="X21" s="11"/>
      <c r="Y21" s="11"/>
      <c r="Z21" s="11"/>
      <c r="AA21" s="11"/>
      <c r="AB21" s="11"/>
      <c r="AC21" s="11"/>
      <c r="AD21" s="11"/>
      <c r="AE21" s="11"/>
      <c r="AF21" s="11"/>
      <c r="AG21" s="11"/>
      <c r="AH21" s="11"/>
      <c r="AI21" s="11"/>
      <c r="AJ21" s="11"/>
      <c r="AK21" s="11"/>
      <c r="AL21" s="11"/>
      <c r="AM21" s="11"/>
      <c r="AN21" s="69"/>
      <c r="AO21" s="69"/>
      <c r="AP21" s="69"/>
    </row>
    <row r="22" spans="1:42" ht="15" customHeight="1">
      <c r="A22" s="513" t="s">
        <v>542</v>
      </c>
      <c r="B22" s="9"/>
      <c r="C22" s="5"/>
      <c r="D22" s="490">
        <f>D20+D23+E23</f>
        <v>42</v>
      </c>
      <c r="E22" s="387">
        <f>IF(F23&gt;11,F23-12,F23)</f>
        <v>7</v>
      </c>
      <c r="F22" s="387">
        <f>F20</f>
        <v>12</v>
      </c>
      <c r="G22" s="568" t="s">
        <v>41</v>
      </c>
      <c r="H22" s="5"/>
      <c r="I22" s="12"/>
      <c r="J22" s="12"/>
      <c r="K22" s="12"/>
      <c r="L22" s="12"/>
      <c r="M22" s="12"/>
      <c r="N22" s="12"/>
      <c r="O22" s="481"/>
      <c r="P22" s="12"/>
      <c r="Q22" s="11"/>
      <c r="R22" s="11"/>
      <c r="S22" s="11"/>
      <c r="T22" s="11"/>
      <c r="U22" s="11"/>
      <c r="V22" s="11"/>
      <c r="W22" s="11"/>
      <c r="X22" s="11"/>
      <c r="Y22" s="11"/>
      <c r="Z22" s="11"/>
      <c r="AA22" s="11"/>
      <c r="AB22" s="11"/>
      <c r="AC22" s="11"/>
      <c r="AD22" s="11"/>
      <c r="AE22" s="11"/>
      <c r="AF22" s="11"/>
      <c r="AG22" s="11"/>
      <c r="AH22" s="11"/>
      <c r="AI22" s="11"/>
      <c r="AJ22" s="11"/>
      <c r="AK22" s="11"/>
      <c r="AL22" s="11"/>
      <c r="AM22" s="11"/>
      <c r="AN22" s="69"/>
      <c r="AO22" s="69"/>
      <c r="AP22" s="69"/>
    </row>
    <row r="23" spans="1:42" ht="12.75" customHeight="1">
      <c r="A23" s="583" t="str">
        <f>IF(D20&lt;34,K39,K40)</f>
        <v>  </v>
      </c>
      <c r="B23" s="9"/>
      <c r="C23" s="5"/>
      <c r="D23" s="602">
        <f>E16-1-2011</f>
        <v>5</v>
      </c>
      <c r="E23" s="603">
        <f>IF(F23&gt;11,1,0)</f>
        <v>1</v>
      </c>
      <c r="F23" s="603">
        <f>E20+G23</f>
        <v>19</v>
      </c>
      <c r="G23" s="605">
        <f>MONTH(C16)-1</f>
        <v>8</v>
      </c>
      <c r="H23" s="5"/>
      <c r="I23" s="12"/>
      <c r="J23" s="12"/>
      <c r="K23" s="12"/>
      <c r="L23" s="12"/>
      <c r="M23" s="12"/>
      <c r="N23" s="12"/>
      <c r="O23" s="481"/>
      <c r="P23" s="12"/>
      <c r="Q23" s="11"/>
      <c r="R23" s="11"/>
      <c r="S23" s="11"/>
      <c r="T23" s="11"/>
      <c r="U23" s="11"/>
      <c r="V23" s="11"/>
      <c r="W23" s="11"/>
      <c r="X23" s="11"/>
      <c r="Y23" s="11"/>
      <c r="Z23" s="11"/>
      <c r="AA23" s="11"/>
      <c r="AB23" s="11"/>
      <c r="AC23" s="11"/>
      <c r="AD23" s="11"/>
      <c r="AE23" s="11"/>
      <c r="AF23" s="11"/>
      <c r="AG23" s="11"/>
      <c r="AH23" s="11"/>
      <c r="AI23" s="11"/>
      <c r="AJ23" s="11"/>
      <c r="AK23" s="11"/>
      <c r="AL23" s="11"/>
      <c r="AM23" s="11"/>
      <c r="AN23" s="69"/>
      <c r="AO23" s="69"/>
      <c r="AP23" s="69"/>
    </row>
    <row r="24" spans="1:42" ht="12.75" customHeight="1">
      <c r="A24" s="5"/>
      <c r="B24" s="9"/>
      <c r="C24" s="5"/>
      <c r="D24" s="5"/>
      <c r="E24" s="5"/>
      <c r="F24" s="5"/>
      <c r="G24" s="5"/>
      <c r="H24" s="5"/>
      <c r="I24" s="12"/>
      <c r="J24" s="12"/>
      <c r="K24" s="12"/>
      <c r="L24" s="12"/>
      <c r="M24" s="12"/>
      <c r="N24" s="12"/>
      <c r="O24" s="482"/>
      <c r="P24" s="12"/>
      <c r="Q24" s="11"/>
      <c r="R24" s="11"/>
      <c r="S24" s="11"/>
      <c r="T24" s="11"/>
      <c r="U24" s="11"/>
      <c r="V24" s="11"/>
      <c r="W24" s="11"/>
      <c r="X24" s="11"/>
      <c r="Y24" s="11"/>
      <c r="Z24" s="11"/>
      <c r="AA24" s="11"/>
      <c r="AB24" s="11"/>
      <c r="AC24" s="11"/>
      <c r="AD24" s="11"/>
      <c r="AE24" s="11"/>
      <c r="AF24" s="11"/>
      <c r="AG24" s="11"/>
      <c r="AH24" s="11"/>
      <c r="AI24" s="11"/>
      <c r="AJ24" s="11"/>
      <c r="AK24" s="11"/>
      <c r="AL24" s="11"/>
      <c r="AM24" s="11"/>
      <c r="AN24" s="69"/>
      <c r="AO24" s="69"/>
      <c r="AP24" s="69"/>
    </row>
    <row r="25" spans="1:42" ht="12.75" customHeight="1">
      <c r="A25" s="5" t="s">
        <v>24</v>
      </c>
      <c r="B25" s="120">
        <v>28</v>
      </c>
      <c r="C25" s="120">
        <v>2014</v>
      </c>
      <c r="D25" s="5"/>
      <c r="E25" s="5"/>
      <c r="F25" s="5"/>
      <c r="G25" s="5"/>
      <c r="H25" s="5"/>
      <c r="I25" s="12"/>
      <c r="J25" s="12"/>
      <c r="K25" s="12"/>
      <c r="L25" s="12"/>
      <c r="M25" s="12"/>
      <c r="N25" s="12"/>
      <c r="O25" s="360" t="s">
        <v>299</v>
      </c>
      <c r="P25" s="12"/>
      <c r="Q25" s="11"/>
      <c r="R25" s="11"/>
      <c r="S25" s="11"/>
      <c r="T25" s="11"/>
      <c r="U25" s="11"/>
      <c r="V25" s="11"/>
      <c r="W25" s="11"/>
      <c r="X25" s="11"/>
      <c r="Y25" s="11"/>
      <c r="Z25" s="11"/>
      <c r="AA25" s="11"/>
      <c r="AB25" s="11"/>
      <c r="AC25" s="11"/>
      <c r="AD25" s="11"/>
      <c r="AE25" s="11"/>
      <c r="AF25" s="11"/>
      <c r="AG25" s="11"/>
      <c r="AH25" s="11"/>
      <c r="AI25" s="11"/>
      <c r="AJ25" s="11"/>
      <c r="AK25" s="11"/>
      <c r="AL25" s="11"/>
      <c r="AM25" s="11"/>
      <c r="AN25" s="69"/>
      <c r="AO25" s="69"/>
      <c r="AP25" s="69"/>
    </row>
    <row r="26" spans="1:42" ht="12.75" customHeight="1">
      <c r="A26" s="5" t="s">
        <v>147</v>
      </c>
      <c r="B26" s="9"/>
      <c r="C26" s="82">
        <f>CalcoloA!F13/12</f>
        <v>1726.1441666666667</v>
      </c>
      <c r="D26" s="5" t="str">
        <f>IF(INT(C26)=Dati!AF1,"ok","ERR")</f>
        <v>ok</v>
      </c>
      <c r="E26" s="5"/>
      <c r="F26" s="5"/>
      <c r="G26" s="5"/>
      <c r="H26" s="5"/>
      <c r="I26" s="12"/>
      <c r="J26" s="12"/>
      <c r="K26" s="12"/>
      <c r="L26" s="12"/>
      <c r="M26" s="12"/>
      <c r="N26" s="12"/>
      <c r="O26" s="483" t="s">
        <v>300</v>
      </c>
      <c r="P26" s="12"/>
      <c r="Q26" s="11"/>
      <c r="R26" s="11"/>
      <c r="S26" s="11"/>
      <c r="T26" s="11"/>
      <c r="U26" s="11"/>
      <c r="V26" s="11"/>
      <c r="W26" s="11"/>
      <c r="X26" s="11"/>
      <c r="Y26" s="11"/>
      <c r="Z26" s="11"/>
      <c r="AA26" s="11"/>
      <c r="AB26" s="11"/>
      <c r="AC26" s="11"/>
      <c r="AD26" s="11"/>
      <c r="AE26" s="11"/>
      <c r="AF26" s="11"/>
      <c r="AG26" s="11"/>
      <c r="AH26" s="11"/>
      <c r="AI26" s="11"/>
      <c r="AJ26" s="11"/>
      <c r="AK26" s="11"/>
      <c r="AL26" s="11"/>
      <c r="AM26" s="11"/>
      <c r="AN26" s="69"/>
      <c r="AO26" s="69"/>
      <c r="AP26" s="69"/>
    </row>
    <row r="27" spans="1:42" ht="12.75" customHeight="1">
      <c r="A27" s="123" t="s">
        <v>130</v>
      </c>
      <c r="B27" s="82">
        <f>Stampa!F46</f>
        <v>26129.770211191986</v>
      </c>
      <c r="C27" s="82">
        <f>Stampa!G51</f>
        <v>1709.3491842659987</v>
      </c>
      <c r="D27" s="5"/>
      <c r="E27" s="5"/>
      <c r="F27" s="5"/>
      <c r="G27" s="5"/>
      <c r="H27" s="5"/>
      <c r="I27" s="12"/>
      <c r="J27" s="12"/>
      <c r="K27" s="12"/>
      <c r="L27" s="12"/>
      <c r="M27" s="12"/>
      <c r="N27" s="12"/>
      <c r="O27" s="483" t="s">
        <v>282</v>
      </c>
      <c r="P27" s="12"/>
      <c r="Q27" s="11"/>
      <c r="R27" s="11"/>
      <c r="S27" s="11"/>
      <c r="T27" s="11"/>
      <c r="U27" s="11"/>
      <c r="V27" s="11"/>
      <c r="W27" s="11"/>
      <c r="X27" s="11"/>
      <c r="Y27" s="11"/>
      <c r="Z27" s="11"/>
      <c r="AA27" s="11"/>
      <c r="AB27" s="11"/>
      <c r="AC27" s="11"/>
      <c r="AD27" s="11"/>
      <c r="AE27" s="11"/>
      <c r="AF27" s="11"/>
      <c r="AG27" s="11"/>
      <c r="AH27" s="11"/>
      <c r="AI27" s="11"/>
      <c r="AJ27" s="11"/>
      <c r="AK27" s="11"/>
      <c r="AL27" s="11"/>
      <c r="AM27" s="11"/>
      <c r="AN27" s="69"/>
      <c r="AO27" s="69"/>
      <c r="AP27" s="69"/>
    </row>
    <row r="28" spans="1:42" ht="12.75" customHeight="1">
      <c r="A28" s="9"/>
      <c r="B28" s="116"/>
      <c r="C28" s="117"/>
      <c r="D28" s="5"/>
      <c r="E28" s="5"/>
      <c r="F28" s="5"/>
      <c r="G28" s="5"/>
      <c r="H28" s="5"/>
      <c r="I28" s="12"/>
      <c r="J28" s="12"/>
      <c r="K28" s="12"/>
      <c r="L28" s="12"/>
      <c r="M28" s="12"/>
      <c r="N28" s="12"/>
      <c r="O28" s="11"/>
      <c r="P28" s="12"/>
      <c r="Q28" s="11"/>
      <c r="R28" s="11"/>
      <c r="S28" s="11"/>
      <c r="T28" s="11"/>
      <c r="U28" s="11"/>
      <c r="V28" s="11"/>
      <c r="W28" s="11"/>
      <c r="X28" s="11"/>
      <c r="Y28" s="11"/>
      <c r="Z28" s="11"/>
      <c r="AA28" s="11"/>
      <c r="AB28" s="11"/>
      <c r="AC28" s="11"/>
      <c r="AD28" s="11"/>
      <c r="AE28" s="11"/>
      <c r="AF28" s="11"/>
      <c r="AG28" s="11"/>
      <c r="AH28" s="11"/>
      <c r="AI28" s="11"/>
      <c r="AJ28" s="11"/>
      <c r="AK28" s="11"/>
      <c r="AL28" s="11"/>
      <c r="AM28" s="11"/>
      <c r="AN28" s="69"/>
      <c r="AO28" s="69"/>
      <c r="AP28" s="69"/>
    </row>
    <row r="29" spans="1:42" ht="12.75" customHeight="1">
      <c r="A29" s="513" t="s">
        <v>500</v>
      </c>
      <c r="B29" s="156">
        <v>0</v>
      </c>
      <c r="C29" s="567" t="s">
        <v>499</v>
      </c>
      <c r="D29" s="5"/>
      <c r="E29" s="5"/>
      <c r="F29" s="5"/>
      <c r="G29" s="601"/>
      <c r="H29" s="5"/>
      <c r="I29" s="12"/>
      <c r="J29" s="12"/>
      <c r="K29" s="12"/>
      <c r="L29" s="12"/>
      <c r="M29" s="12"/>
      <c r="N29" s="12"/>
      <c r="O29" s="11"/>
      <c r="P29" s="12"/>
      <c r="Q29" s="11"/>
      <c r="R29" s="11"/>
      <c r="S29" s="11"/>
      <c r="T29" s="11"/>
      <c r="U29" s="11"/>
      <c r="V29" s="11"/>
      <c r="W29" s="11"/>
      <c r="X29" s="11"/>
      <c r="Y29" s="11"/>
      <c r="Z29" s="11"/>
      <c r="AA29" s="11"/>
      <c r="AB29" s="11"/>
      <c r="AC29" s="11"/>
      <c r="AD29" s="11"/>
      <c r="AE29" s="11"/>
      <c r="AF29" s="11"/>
      <c r="AG29" s="11"/>
      <c r="AH29" s="11"/>
      <c r="AI29" s="11"/>
      <c r="AJ29" s="11"/>
      <c r="AK29" s="11"/>
      <c r="AL29" s="11"/>
      <c r="AM29" s="11"/>
      <c r="AN29" s="69"/>
      <c r="AO29" s="69"/>
      <c r="AP29" s="69"/>
    </row>
    <row r="30" spans="1:42" ht="12.75" customHeight="1">
      <c r="A30" s="9"/>
      <c r="B30" s="116"/>
      <c r="C30" s="117"/>
      <c r="D30" s="5"/>
      <c r="E30" s="5"/>
      <c r="F30" s="5"/>
      <c r="G30" s="5"/>
      <c r="H30" s="5"/>
      <c r="I30" s="12"/>
      <c r="J30" s="12"/>
      <c r="K30" s="12"/>
      <c r="L30" s="12"/>
      <c r="M30" s="12"/>
      <c r="N30" s="12"/>
      <c r="O30" s="486">
        <v>0</v>
      </c>
      <c r="P30" s="12"/>
      <c r="Q30" s="11"/>
      <c r="R30" s="11"/>
      <c r="S30" s="11"/>
      <c r="T30" s="11"/>
      <c r="U30" s="11"/>
      <c r="V30" s="11"/>
      <c r="W30" s="11"/>
      <c r="X30" s="11"/>
      <c r="Y30" s="11"/>
      <c r="Z30" s="11"/>
      <c r="AA30" s="11"/>
      <c r="AB30" s="11"/>
      <c r="AC30" s="11"/>
      <c r="AD30" s="11"/>
      <c r="AE30" s="11"/>
      <c r="AF30" s="11"/>
      <c r="AG30" s="11"/>
      <c r="AH30" s="11"/>
      <c r="AI30" s="11"/>
      <c r="AJ30" s="11"/>
      <c r="AK30" s="11"/>
      <c r="AL30" s="11"/>
      <c r="AM30" s="11"/>
      <c r="AN30" s="69"/>
      <c r="AO30" s="69"/>
      <c r="AP30" s="69"/>
    </row>
    <row r="31" spans="1:42" ht="12.75">
      <c r="A31" s="9">
        <v>2</v>
      </c>
      <c r="B31" s="116"/>
      <c r="C31" s="117"/>
      <c r="D31" s="5"/>
      <c r="E31" s="5"/>
      <c r="F31" s="5"/>
      <c r="G31" s="5"/>
      <c r="H31" s="5"/>
      <c r="I31" s="12"/>
      <c r="J31" s="12"/>
      <c r="K31" s="12"/>
      <c r="L31" s="12"/>
      <c r="M31" s="12"/>
      <c r="N31" s="12"/>
      <c r="O31" s="265">
        <v>3</v>
      </c>
      <c r="P31" s="12"/>
      <c r="Q31" s="11"/>
      <c r="R31" s="11"/>
      <c r="S31" s="11"/>
      <c r="T31" s="11"/>
      <c r="U31" s="11"/>
      <c r="V31" s="11"/>
      <c r="W31" s="11"/>
      <c r="X31" s="11"/>
      <c r="Y31" s="11"/>
      <c r="Z31" s="11"/>
      <c r="AA31" s="11"/>
      <c r="AB31" s="11"/>
      <c r="AC31" s="11"/>
      <c r="AD31" s="11"/>
      <c r="AE31" s="11"/>
      <c r="AF31" s="11"/>
      <c r="AG31" s="11"/>
      <c r="AH31" s="11"/>
      <c r="AI31" s="11"/>
      <c r="AJ31" s="11"/>
      <c r="AK31" s="11"/>
      <c r="AL31" s="11"/>
      <c r="AM31" s="11"/>
      <c r="AN31" s="69"/>
      <c r="AO31" s="69"/>
      <c r="AP31" s="69"/>
    </row>
    <row r="32" spans="1:42" ht="12.75">
      <c r="A32" s="9"/>
      <c r="B32" s="116"/>
      <c r="C32" s="117"/>
      <c r="D32" s="5"/>
      <c r="E32" s="5"/>
      <c r="F32" s="5"/>
      <c r="G32" s="5"/>
      <c r="H32" s="5"/>
      <c r="I32" s="12"/>
      <c r="J32" s="12"/>
      <c r="K32" s="12"/>
      <c r="L32" s="12"/>
      <c r="M32" s="12"/>
      <c r="N32" s="12"/>
      <c r="O32" s="265">
        <v>9</v>
      </c>
      <c r="P32" s="12"/>
      <c r="Q32" s="11"/>
      <c r="R32" s="11"/>
      <c r="S32" s="11"/>
      <c r="T32" s="11"/>
      <c r="U32" s="11"/>
      <c r="V32" s="11"/>
      <c r="W32" s="11"/>
      <c r="X32" s="11"/>
      <c r="Y32" s="11"/>
      <c r="Z32" s="11"/>
      <c r="AA32" s="11"/>
      <c r="AB32" s="11"/>
      <c r="AC32" s="11"/>
      <c r="AD32" s="11"/>
      <c r="AE32" s="11"/>
      <c r="AF32" s="11"/>
      <c r="AG32" s="11"/>
      <c r="AH32" s="11"/>
      <c r="AI32" s="11"/>
      <c r="AJ32" s="11"/>
      <c r="AK32" s="11"/>
      <c r="AL32" s="11"/>
      <c r="AM32" s="11"/>
      <c r="AN32" s="69"/>
      <c r="AO32" s="69"/>
      <c r="AP32" s="69"/>
    </row>
    <row r="33" spans="1:42" ht="12.75">
      <c r="A33" s="9"/>
      <c r="B33" s="116"/>
      <c r="C33" s="117">
        <v>0.5</v>
      </c>
      <c r="D33" s="5"/>
      <c r="E33" s="5"/>
      <c r="F33" s="5"/>
      <c r="G33" s="5"/>
      <c r="H33" s="5"/>
      <c r="I33" s="12"/>
      <c r="J33" s="12"/>
      <c r="K33" s="12"/>
      <c r="L33" s="12"/>
      <c r="M33" s="12"/>
      <c r="N33" s="12"/>
      <c r="O33" s="265">
        <v>15</v>
      </c>
      <c r="P33" s="12"/>
      <c r="Q33" s="11"/>
      <c r="R33" s="11"/>
      <c r="S33" s="11"/>
      <c r="T33" s="11"/>
      <c r="U33" s="11"/>
      <c r="V33" s="11"/>
      <c r="W33" s="11"/>
      <c r="X33" s="11"/>
      <c r="Y33" s="11"/>
      <c r="Z33" s="11"/>
      <c r="AA33" s="11"/>
      <c r="AB33" s="11"/>
      <c r="AC33" s="11"/>
      <c r="AD33" s="11"/>
      <c r="AE33" s="11"/>
      <c r="AF33" s="11"/>
      <c r="AG33" s="11"/>
      <c r="AH33" s="11"/>
      <c r="AI33" s="11"/>
      <c r="AJ33" s="11"/>
      <c r="AK33" s="11"/>
      <c r="AL33" s="11"/>
      <c r="AM33" s="11"/>
      <c r="AN33" s="69"/>
      <c r="AO33" s="69"/>
      <c r="AP33" s="69"/>
    </row>
    <row r="34" spans="1:42" ht="12.75">
      <c r="A34" s="9"/>
      <c r="B34" s="116"/>
      <c r="C34" s="117"/>
      <c r="D34" s="5"/>
      <c r="E34" s="5"/>
      <c r="F34" s="5"/>
      <c r="G34" s="5"/>
      <c r="H34" s="5"/>
      <c r="I34" s="12"/>
      <c r="J34" s="12"/>
      <c r="K34" s="12"/>
      <c r="L34" s="12"/>
      <c r="M34" s="12"/>
      <c r="N34" s="12"/>
      <c r="O34" s="265">
        <v>21</v>
      </c>
      <c r="P34" s="12"/>
      <c r="Q34" s="11"/>
      <c r="R34" s="11"/>
      <c r="S34" s="11"/>
      <c r="T34" s="11"/>
      <c r="U34" s="11"/>
      <c r="V34" s="11"/>
      <c r="W34" s="11"/>
      <c r="X34" s="11"/>
      <c r="Y34" s="11"/>
      <c r="Z34" s="11"/>
      <c r="AA34" s="11"/>
      <c r="AB34" s="11"/>
      <c r="AC34" s="11"/>
      <c r="AD34" s="11"/>
      <c r="AE34" s="11"/>
      <c r="AF34" s="11"/>
      <c r="AG34" s="11"/>
      <c r="AH34" s="11"/>
      <c r="AI34" s="11"/>
      <c r="AJ34" s="11"/>
      <c r="AK34" s="11"/>
      <c r="AL34" s="11"/>
      <c r="AM34" s="11"/>
      <c r="AN34" s="69"/>
      <c r="AO34" s="69"/>
      <c r="AP34" s="69"/>
    </row>
    <row r="35" spans="1:42" ht="12.75">
      <c r="A35" s="9"/>
      <c r="B35" s="116"/>
      <c r="C35" s="117"/>
      <c r="D35" s="5"/>
      <c r="E35" s="5"/>
      <c r="F35" s="5"/>
      <c r="G35" s="5"/>
      <c r="H35" s="5"/>
      <c r="I35" s="12"/>
      <c r="J35" s="12"/>
      <c r="K35" s="514" t="s">
        <v>471</v>
      </c>
      <c r="L35" s="12"/>
      <c r="M35" s="12"/>
      <c r="N35" s="12"/>
      <c r="O35" s="265">
        <v>28</v>
      </c>
      <c r="P35" s="12"/>
      <c r="Q35" s="11"/>
      <c r="R35" s="11"/>
      <c r="S35" s="11"/>
      <c r="T35" s="11"/>
      <c r="U35" s="11"/>
      <c r="V35" s="11"/>
      <c r="W35" s="11"/>
      <c r="X35" s="11"/>
      <c r="Y35" s="11"/>
      <c r="Z35" s="11"/>
      <c r="AA35" s="11"/>
      <c r="AB35" s="11"/>
      <c r="AC35" s="11"/>
      <c r="AD35" s="11"/>
      <c r="AE35" s="11"/>
      <c r="AF35" s="11"/>
      <c r="AG35" s="11"/>
      <c r="AH35" s="11"/>
      <c r="AI35" s="11"/>
      <c r="AJ35" s="11"/>
      <c r="AK35" s="11"/>
      <c r="AL35" s="11"/>
      <c r="AM35" s="11"/>
      <c r="AN35" s="69"/>
      <c r="AO35" s="69"/>
      <c r="AP35" s="69"/>
    </row>
    <row r="36" spans="1:42" ht="12.75">
      <c r="A36" s="9"/>
      <c r="B36" s="116"/>
      <c r="C36" s="117"/>
      <c r="D36" s="5"/>
      <c r="E36" s="5"/>
      <c r="F36" s="5"/>
      <c r="G36" s="5"/>
      <c r="H36" s="5"/>
      <c r="I36" s="12"/>
      <c r="J36" s="12"/>
      <c r="K36" s="515" t="s">
        <v>472</v>
      </c>
      <c r="L36" s="12"/>
      <c r="M36" s="12"/>
      <c r="N36" s="12"/>
      <c r="O36" s="271">
        <v>35</v>
      </c>
      <c r="P36" s="12"/>
      <c r="Q36" s="11"/>
      <c r="R36" s="11"/>
      <c r="S36" s="11"/>
      <c r="T36" s="11"/>
      <c r="U36" s="11"/>
      <c r="V36" s="11"/>
      <c r="W36" s="11"/>
      <c r="X36" s="11"/>
      <c r="Y36" s="11"/>
      <c r="Z36" s="11"/>
      <c r="AA36" s="11"/>
      <c r="AB36" s="11"/>
      <c r="AC36" s="11"/>
      <c r="AD36" s="11"/>
      <c r="AE36" s="11"/>
      <c r="AF36" s="11"/>
      <c r="AG36" s="11"/>
      <c r="AH36" s="11"/>
      <c r="AI36" s="11"/>
      <c r="AJ36" s="11"/>
      <c r="AK36" s="11"/>
      <c r="AL36" s="11"/>
      <c r="AM36" s="11"/>
      <c r="AN36" s="69"/>
      <c r="AO36" s="69"/>
      <c r="AP36" s="69"/>
    </row>
    <row r="37" spans="1:42" ht="12.75">
      <c r="A37" s="9"/>
      <c r="B37" s="116"/>
      <c r="C37" s="117"/>
      <c r="D37" s="5"/>
      <c r="E37" s="5"/>
      <c r="F37" s="5"/>
      <c r="G37" s="5"/>
      <c r="H37" s="5"/>
      <c r="I37" s="12"/>
      <c r="J37" s="12"/>
      <c r="K37" s="516" t="s">
        <v>469</v>
      </c>
      <c r="L37" s="12"/>
      <c r="M37" s="12"/>
      <c r="N37" s="12"/>
      <c r="O37" s="11"/>
      <c r="P37" s="12"/>
      <c r="Q37" s="11"/>
      <c r="R37" s="11"/>
      <c r="S37" s="11"/>
      <c r="T37" s="11"/>
      <c r="U37" s="11"/>
      <c r="V37" s="11"/>
      <c r="W37" s="11"/>
      <c r="X37" s="11"/>
      <c r="Y37" s="11"/>
      <c r="Z37" s="11"/>
      <c r="AA37" s="11"/>
      <c r="AB37" s="11"/>
      <c r="AC37" s="11"/>
      <c r="AD37" s="11"/>
      <c r="AE37" s="11"/>
      <c r="AF37" s="11"/>
      <c r="AG37" s="11"/>
      <c r="AH37" s="11"/>
      <c r="AI37" s="11"/>
      <c r="AJ37" s="11"/>
      <c r="AK37" s="11"/>
      <c r="AL37" s="11"/>
      <c r="AM37" s="11"/>
      <c r="AN37" s="69"/>
      <c r="AO37" s="69"/>
      <c r="AP37" s="69"/>
    </row>
    <row r="38" spans="1:42" ht="12.75">
      <c r="A38" s="9"/>
      <c r="B38" s="116"/>
      <c r="C38" s="117"/>
      <c r="D38" s="5"/>
      <c r="E38" s="5"/>
      <c r="F38" s="5"/>
      <c r="G38" s="5"/>
      <c r="H38" s="5"/>
      <c r="I38" s="12"/>
      <c r="J38" s="12"/>
      <c r="K38" s="12"/>
      <c r="L38" s="12"/>
      <c r="M38" s="12"/>
      <c r="N38" s="12"/>
      <c r="O38" s="360" t="s">
        <v>464</v>
      </c>
      <c r="P38" s="12"/>
      <c r="Q38" s="11"/>
      <c r="R38" s="11"/>
      <c r="S38" s="11"/>
      <c r="T38" s="11"/>
      <c r="U38" s="11"/>
      <c r="V38" s="11"/>
      <c r="W38" s="11"/>
      <c r="X38" s="11"/>
      <c r="Y38" s="11"/>
      <c r="Z38" s="11"/>
      <c r="AA38" s="11"/>
      <c r="AB38" s="11"/>
      <c r="AC38" s="11"/>
      <c r="AD38" s="11"/>
      <c r="AE38" s="11"/>
      <c r="AF38" s="11"/>
      <c r="AG38" s="11"/>
      <c r="AH38" s="11"/>
      <c r="AI38" s="11"/>
      <c r="AJ38" s="11"/>
      <c r="AK38" s="11"/>
      <c r="AL38" s="11"/>
      <c r="AM38" s="11"/>
      <c r="AN38" s="69"/>
      <c r="AO38" s="69"/>
      <c r="AP38" s="69"/>
    </row>
    <row r="39" spans="1:42" ht="12.75">
      <c r="A39" s="9"/>
      <c r="B39" s="116"/>
      <c r="C39" s="117"/>
      <c r="D39" s="5"/>
      <c r="E39" s="5"/>
      <c r="F39" s="5"/>
      <c r="G39" s="5"/>
      <c r="H39" s="5"/>
      <c r="I39" s="12"/>
      <c r="J39" s="12"/>
      <c r="K39" s="580" t="s">
        <v>610</v>
      </c>
      <c r="L39" s="484"/>
      <c r="M39" s="12"/>
      <c r="N39" s="12"/>
      <c r="O39" s="483" t="s">
        <v>466</v>
      </c>
      <c r="P39" s="12"/>
      <c r="Q39" s="11"/>
      <c r="R39" s="11"/>
      <c r="S39" s="11"/>
      <c r="T39" s="11"/>
      <c r="U39" s="11"/>
      <c r="V39" s="11"/>
      <c r="W39" s="11"/>
      <c r="X39" s="11"/>
      <c r="Y39" s="11"/>
      <c r="Z39" s="11"/>
      <c r="AA39" s="11"/>
      <c r="AB39" s="11"/>
      <c r="AC39" s="11"/>
      <c r="AD39" s="11"/>
      <c r="AE39" s="11"/>
      <c r="AF39" s="11"/>
      <c r="AG39" s="11"/>
      <c r="AH39" s="11"/>
      <c r="AI39" s="11"/>
      <c r="AJ39" s="11"/>
      <c r="AK39" s="11"/>
      <c r="AL39" s="11"/>
      <c r="AM39" s="11"/>
      <c r="AN39" s="69"/>
      <c r="AO39" s="69"/>
      <c r="AP39" s="69"/>
    </row>
    <row r="40" spans="1:42" ht="12.75">
      <c r="A40" s="9"/>
      <c r="B40" s="116"/>
      <c r="C40" s="117"/>
      <c r="D40" s="5"/>
      <c r="E40" s="5"/>
      <c r="F40" s="5"/>
      <c r="G40" s="5"/>
      <c r="H40" s="5"/>
      <c r="I40" s="12"/>
      <c r="J40" s="12"/>
      <c r="K40" s="581" t="str">
        <f>"  "</f>
        <v>  </v>
      </c>
      <c r="L40" s="485"/>
      <c r="M40" s="12"/>
      <c r="N40" s="12"/>
      <c r="O40" s="483" t="s">
        <v>465</v>
      </c>
      <c r="P40" s="12"/>
      <c r="Q40" s="11"/>
      <c r="R40" s="11"/>
      <c r="S40" s="11"/>
      <c r="T40" s="11"/>
      <c r="U40" s="11"/>
      <c r="V40" s="11"/>
      <c r="W40" s="11"/>
      <c r="X40" s="11"/>
      <c r="Y40" s="11"/>
      <c r="Z40" s="11"/>
      <c r="AA40" s="11"/>
      <c r="AB40" s="11"/>
      <c r="AC40" s="11"/>
      <c r="AD40" s="11"/>
      <c r="AE40" s="11"/>
      <c r="AF40" s="11"/>
      <c r="AG40" s="11"/>
      <c r="AH40" s="11"/>
      <c r="AI40" s="11"/>
      <c r="AJ40" s="11"/>
      <c r="AK40" s="11"/>
      <c r="AL40" s="11"/>
      <c r="AM40" s="11"/>
      <c r="AN40" s="69"/>
      <c r="AO40" s="69"/>
      <c r="AP40" s="69"/>
    </row>
    <row r="41" spans="1:42" ht="12.75">
      <c r="A41" s="9"/>
      <c r="B41" s="116"/>
      <c r="C41" s="117"/>
      <c r="D41" s="5"/>
      <c r="E41" s="5"/>
      <c r="F41" s="5"/>
      <c r="G41" s="5"/>
      <c r="H41" s="5"/>
      <c r="I41" s="12"/>
      <c r="J41" s="12"/>
      <c r="K41" s="12"/>
      <c r="L41" s="12"/>
      <c r="M41" s="12"/>
      <c r="N41" s="12"/>
      <c r="O41" s="11"/>
      <c r="P41" s="12"/>
      <c r="Q41" s="11"/>
      <c r="R41" s="11"/>
      <c r="S41" s="11"/>
      <c r="T41" s="11"/>
      <c r="U41" s="11"/>
      <c r="V41" s="11"/>
      <c r="W41" s="11"/>
      <c r="X41" s="11"/>
      <c r="Y41" s="11"/>
      <c r="Z41" s="11"/>
      <c r="AA41" s="11"/>
      <c r="AB41" s="11"/>
      <c r="AC41" s="11"/>
      <c r="AD41" s="11"/>
      <c r="AE41" s="11"/>
      <c r="AF41" s="11"/>
      <c r="AG41" s="11"/>
      <c r="AH41" s="11"/>
      <c r="AI41" s="11"/>
      <c r="AJ41" s="11"/>
      <c r="AK41" s="11"/>
      <c r="AL41" s="11"/>
      <c r="AM41" s="11"/>
      <c r="AN41" s="69"/>
      <c r="AO41" s="69"/>
      <c r="AP41" s="69"/>
    </row>
    <row r="42" spans="1:42" ht="12.75">
      <c r="A42" s="9"/>
      <c r="B42" s="116"/>
      <c r="C42" s="117"/>
      <c r="D42" s="5"/>
      <c r="E42" s="5"/>
      <c r="F42" s="5"/>
      <c r="G42" s="5"/>
      <c r="H42" s="5"/>
      <c r="I42" s="12"/>
      <c r="J42" s="12"/>
      <c r="K42" s="12"/>
      <c r="L42" s="12"/>
      <c r="M42" s="12"/>
      <c r="N42" s="12"/>
      <c r="O42" s="570" t="s">
        <v>501</v>
      </c>
      <c r="P42" s="12"/>
      <c r="Q42" s="11"/>
      <c r="R42" s="11"/>
      <c r="S42" s="11"/>
      <c r="T42" s="11"/>
      <c r="U42" s="11"/>
      <c r="V42" s="11"/>
      <c r="W42" s="11"/>
      <c r="X42" s="11"/>
      <c r="Y42" s="11"/>
      <c r="Z42" s="11"/>
      <c r="AA42" s="11"/>
      <c r="AB42" s="11"/>
      <c r="AC42" s="11"/>
      <c r="AD42" s="11"/>
      <c r="AE42" s="11"/>
      <c r="AF42" s="11"/>
      <c r="AG42" s="11"/>
      <c r="AH42" s="11"/>
      <c r="AI42" s="11"/>
      <c r="AJ42" s="11"/>
      <c r="AK42" s="11"/>
      <c r="AL42" s="11"/>
      <c r="AM42" s="11"/>
      <c r="AN42" s="69"/>
      <c r="AO42" s="69"/>
      <c r="AP42" s="69"/>
    </row>
    <row r="43" spans="1:42" ht="12.75">
      <c r="A43" s="9"/>
      <c r="B43" s="116"/>
      <c r="C43" s="117"/>
      <c r="D43" s="5"/>
      <c r="E43" s="5"/>
      <c r="F43" s="5"/>
      <c r="G43" s="5"/>
      <c r="H43" s="5"/>
      <c r="I43" s="12"/>
      <c r="J43" s="12"/>
      <c r="K43" s="12"/>
      <c r="L43" s="12"/>
      <c r="M43" s="12"/>
      <c r="N43" s="12"/>
      <c r="O43" s="265">
        <f>E21+8</f>
        <v>19</v>
      </c>
      <c r="P43" s="12"/>
      <c r="Q43" s="11"/>
      <c r="R43" s="11"/>
      <c r="S43" s="11"/>
      <c r="T43" s="11"/>
      <c r="U43" s="11"/>
      <c r="V43" s="11"/>
      <c r="W43" s="11"/>
      <c r="X43" s="11"/>
      <c r="Y43" s="11"/>
      <c r="Z43" s="11"/>
      <c r="AA43" s="11"/>
      <c r="AB43" s="11"/>
      <c r="AC43" s="11"/>
      <c r="AD43" s="11"/>
      <c r="AE43" s="11"/>
      <c r="AF43" s="11"/>
      <c r="AG43" s="11"/>
      <c r="AH43" s="11"/>
      <c r="AI43" s="11"/>
      <c r="AJ43" s="11"/>
      <c r="AK43" s="11"/>
      <c r="AL43" s="11"/>
      <c r="AM43" s="11"/>
      <c r="AN43" s="69"/>
      <c r="AO43" s="69"/>
      <c r="AP43" s="69"/>
    </row>
    <row r="44" spans="1:42" ht="12.75">
      <c r="A44" s="9"/>
      <c r="B44" s="116"/>
      <c r="C44" s="117"/>
      <c r="D44" s="5"/>
      <c r="E44" s="5"/>
      <c r="F44" s="5"/>
      <c r="G44" s="5"/>
      <c r="H44" s="5"/>
      <c r="I44" s="12"/>
      <c r="J44" s="12"/>
      <c r="K44" s="12"/>
      <c r="L44" s="12"/>
      <c r="M44" s="12"/>
      <c r="N44" s="12"/>
      <c r="O44" s="265">
        <f>IF(O43&gt;11,1,0)</f>
        <v>1</v>
      </c>
      <c r="P44" s="12"/>
      <c r="Q44" s="11"/>
      <c r="R44" s="11"/>
      <c r="S44" s="11"/>
      <c r="T44" s="11"/>
      <c r="U44" s="11"/>
      <c r="V44" s="11"/>
      <c r="W44" s="11"/>
      <c r="X44" s="11"/>
      <c r="Y44" s="11"/>
      <c r="Z44" s="11"/>
      <c r="AA44" s="11"/>
      <c r="AB44" s="11"/>
      <c r="AC44" s="11"/>
      <c r="AD44" s="11"/>
      <c r="AE44" s="11"/>
      <c r="AF44" s="11"/>
      <c r="AG44" s="11"/>
      <c r="AH44" s="11"/>
      <c r="AI44" s="11"/>
      <c r="AJ44" s="11"/>
      <c r="AK44" s="11"/>
      <c r="AL44" s="11"/>
      <c r="AM44" s="11"/>
      <c r="AN44" s="69"/>
      <c r="AO44" s="69"/>
      <c r="AP44" s="69"/>
    </row>
    <row r="45" spans="1:42" ht="12.75">
      <c r="A45" s="9"/>
      <c r="B45" s="116"/>
      <c r="C45" s="117"/>
      <c r="D45" s="5"/>
      <c r="E45" s="5"/>
      <c r="F45" s="5"/>
      <c r="G45" s="5"/>
      <c r="H45" s="5"/>
      <c r="I45" s="12"/>
      <c r="J45" s="12"/>
      <c r="K45" s="12"/>
      <c r="L45" s="12"/>
      <c r="M45" s="12"/>
      <c r="N45" s="12"/>
      <c r="O45" s="265">
        <f>IF(O43&gt;11,O43-12,O43)</f>
        <v>7</v>
      </c>
      <c r="P45" s="12"/>
      <c r="Q45" s="11"/>
      <c r="R45" s="11"/>
      <c r="S45" s="11"/>
      <c r="T45" s="11"/>
      <c r="U45" s="11"/>
      <c r="V45" s="11"/>
      <c r="W45" s="11"/>
      <c r="X45" s="11"/>
      <c r="Y45" s="11"/>
      <c r="Z45" s="11"/>
      <c r="AA45" s="11"/>
      <c r="AB45" s="11"/>
      <c r="AC45" s="11"/>
      <c r="AD45" s="11"/>
      <c r="AE45" s="11"/>
      <c r="AF45" s="11"/>
      <c r="AG45" s="11"/>
      <c r="AH45" s="11"/>
      <c r="AI45" s="11"/>
      <c r="AJ45" s="11"/>
      <c r="AK45" s="11"/>
      <c r="AL45" s="11"/>
      <c r="AM45" s="11"/>
      <c r="AN45" s="69"/>
      <c r="AO45" s="69"/>
      <c r="AP45" s="69"/>
    </row>
    <row r="46" spans="1:42" ht="12.75">
      <c r="A46" s="9"/>
      <c r="B46" s="116"/>
      <c r="C46" s="117"/>
      <c r="D46" s="5"/>
      <c r="E46" s="5"/>
      <c r="F46" s="5"/>
      <c r="G46" s="5"/>
      <c r="H46" s="5"/>
      <c r="I46" s="12"/>
      <c r="J46" s="12"/>
      <c r="K46" s="12"/>
      <c r="L46" s="12"/>
      <c r="M46" s="12"/>
      <c r="N46" s="12"/>
      <c r="O46" s="571">
        <f>D20+E16-2012+O44</f>
        <v>42</v>
      </c>
      <c r="P46" s="12"/>
      <c r="Q46" s="11"/>
      <c r="R46" s="11"/>
      <c r="S46" s="11"/>
      <c r="T46" s="11"/>
      <c r="U46" s="11"/>
      <c r="V46" s="11"/>
      <c r="W46" s="11"/>
      <c r="X46" s="11"/>
      <c r="Y46" s="11"/>
      <c r="Z46" s="11"/>
      <c r="AA46" s="11"/>
      <c r="AB46" s="11"/>
      <c r="AC46" s="11"/>
      <c r="AD46" s="11"/>
      <c r="AE46" s="11"/>
      <c r="AF46" s="11"/>
      <c r="AG46" s="11"/>
      <c r="AH46" s="11"/>
      <c r="AI46" s="11"/>
      <c r="AJ46" s="11"/>
      <c r="AK46" s="11"/>
      <c r="AL46" s="11"/>
      <c r="AM46" s="11"/>
      <c r="AN46" s="69"/>
      <c r="AO46" s="69"/>
      <c r="AP46" s="69"/>
    </row>
    <row r="47" spans="1:42" ht="12.75">
      <c r="A47" s="9"/>
      <c r="B47" s="116"/>
      <c r="C47" s="117"/>
      <c r="D47" s="5"/>
      <c r="E47" s="5"/>
      <c r="F47" s="5"/>
      <c r="G47" s="5"/>
      <c r="H47" s="5"/>
      <c r="I47" s="12"/>
      <c r="J47" s="12"/>
      <c r="K47" s="12"/>
      <c r="L47" s="12"/>
      <c r="M47" s="12"/>
      <c r="N47" s="12"/>
      <c r="O47" s="11"/>
      <c r="P47" s="12"/>
      <c r="Q47" s="11"/>
      <c r="R47" s="11"/>
      <c r="S47" s="11"/>
      <c r="T47" s="11"/>
      <c r="U47" s="11"/>
      <c r="V47" s="11"/>
      <c r="W47" s="11"/>
      <c r="X47" s="11"/>
      <c r="Y47" s="11"/>
      <c r="Z47" s="11"/>
      <c r="AA47" s="11"/>
      <c r="AB47" s="11"/>
      <c r="AC47" s="11"/>
      <c r="AD47" s="11"/>
      <c r="AE47" s="11"/>
      <c r="AF47" s="11"/>
      <c r="AG47" s="11"/>
      <c r="AH47" s="11"/>
      <c r="AI47" s="11"/>
      <c r="AJ47" s="11"/>
      <c r="AK47" s="11"/>
      <c r="AL47" s="11"/>
      <c r="AM47" s="11"/>
      <c r="AN47" s="69"/>
      <c r="AO47" s="69"/>
      <c r="AP47" s="69"/>
    </row>
    <row r="48" spans="1:42" ht="12.75">
      <c r="A48" s="9"/>
      <c r="B48" s="116"/>
      <c r="C48" s="117"/>
      <c r="D48" s="5"/>
      <c r="E48" s="5"/>
      <c r="F48" s="5"/>
      <c r="G48" s="5"/>
      <c r="H48" s="5"/>
      <c r="I48" s="12"/>
      <c r="J48" s="12"/>
      <c r="K48" s="12"/>
      <c r="L48" s="12"/>
      <c r="M48" s="12"/>
      <c r="N48" s="12"/>
      <c r="O48" s="11"/>
      <c r="P48" s="12"/>
      <c r="Q48" s="11"/>
      <c r="R48" s="11"/>
      <c r="S48" s="11"/>
      <c r="T48" s="11"/>
      <c r="U48" s="11"/>
      <c r="V48" s="11"/>
      <c r="W48" s="11"/>
      <c r="X48" s="11"/>
      <c r="Y48" s="11"/>
      <c r="Z48" s="11"/>
      <c r="AA48" s="11"/>
      <c r="AB48" s="11"/>
      <c r="AC48" s="11"/>
      <c r="AD48" s="11"/>
      <c r="AE48" s="11"/>
      <c r="AF48" s="11"/>
      <c r="AG48" s="11"/>
      <c r="AH48" s="11"/>
      <c r="AI48" s="11"/>
      <c r="AJ48" s="11"/>
      <c r="AK48" s="11"/>
      <c r="AL48" s="11"/>
      <c r="AM48" s="11"/>
      <c r="AN48" s="69"/>
      <c r="AO48" s="69"/>
      <c r="AP48" s="69"/>
    </row>
    <row r="49" spans="1:42" ht="12.75">
      <c r="A49" s="9"/>
      <c r="B49" s="116"/>
      <c r="C49" s="117"/>
      <c r="D49" s="5"/>
      <c r="E49" s="5"/>
      <c r="F49" s="5"/>
      <c r="G49" s="5"/>
      <c r="H49" s="5"/>
      <c r="I49" s="12"/>
      <c r="J49" s="12"/>
      <c r="K49" s="12"/>
      <c r="L49" s="12"/>
      <c r="M49" s="12"/>
      <c r="N49" s="12"/>
      <c r="O49" s="11"/>
      <c r="P49" s="12"/>
      <c r="Q49" s="11"/>
      <c r="R49" s="11"/>
      <c r="S49" s="11"/>
      <c r="T49" s="11"/>
      <c r="U49" s="11"/>
      <c r="V49" s="11"/>
      <c r="W49" s="11"/>
      <c r="X49" s="11"/>
      <c r="Y49" s="11"/>
      <c r="Z49" s="11"/>
      <c r="AA49" s="11"/>
      <c r="AB49" s="11"/>
      <c r="AC49" s="11"/>
      <c r="AD49" s="11"/>
      <c r="AE49" s="11"/>
      <c r="AF49" s="11"/>
      <c r="AG49" s="11"/>
      <c r="AH49" s="11"/>
      <c r="AI49" s="11"/>
      <c r="AJ49" s="11"/>
      <c r="AK49" s="11"/>
      <c r="AL49" s="11"/>
      <c r="AM49" s="11"/>
      <c r="AN49" s="69"/>
      <c r="AO49" s="69"/>
      <c r="AP49" s="69"/>
    </row>
    <row r="50" spans="1:39" ht="12.75">
      <c r="A50" s="9"/>
      <c r="B50" s="116"/>
      <c r="C50" s="117"/>
      <c r="D50" s="5"/>
      <c r="E50" s="5"/>
      <c r="F50" s="5"/>
      <c r="G50" s="5"/>
      <c r="H50" s="5"/>
      <c r="I50" s="12"/>
      <c r="J50" s="12"/>
      <c r="K50" s="12"/>
      <c r="L50" s="12"/>
      <c r="M50" s="12"/>
      <c r="N50" s="12"/>
      <c r="O50" s="11"/>
      <c r="P50" s="12"/>
      <c r="Q50" s="11"/>
      <c r="R50" s="11"/>
      <c r="S50" s="11"/>
      <c r="T50" s="11"/>
      <c r="U50" s="11"/>
      <c r="V50" s="11"/>
      <c r="W50" s="11"/>
      <c r="X50" s="11"/>
      <c r="Y50" s="11"/>
      <c r="Z50" s="11"/>
      <c r="AA50" s="11"/>
      <c r="AB50" s="11"/>
      <c r="AC50" s="11"/>
      <c r="AD50" s="11"/>
      <c r="AE50" s="11"/>
      <c r="AF50" s="11"/>
      <c r="AG50" s="11"/>
      <c r="AH50" s="11"/>
      <c r="AI50" s="11"/>
      <c r="AJ50" s="11"/>
      <c r="AK50" s="11"/>
      <c r="AL50" s="11"/>
      <c r="AM50" s="11"/>
    </row>
    <row r="51" spans="1:39" ht="12.75">
      <c r="A51" s="9"/>
      <c r="B51" s="116"/>
      <c r="C51" s="117"/>
      <c r="D51" s="5"/>
      <c r="E51" s="5"/>
      <c r="F51" s="5"/>
      <c r="G51" s="5"/>
      <c r="H51" s="5"/>
      <c r="I51" s="12"/>
      <c r="J51" s="12"/>
      <c r="K51" s="12"/>
      <c r="L51" s="12"/>
      <c r="M51" s="12"/>
      <c r="N51" s="12"/>
      <c r="O51" s="11"/>
      <c r="P51" s="12"/>
      <c r="Q51" s="11"/>
      <c r="R51" s="11"/>
      <c r="S51" s="11"/>
      <c r="T51" s="11"/>
      <c r="U51" s="11"/>
      <c r="V51" s="11"/>
      <c r="W51" s="11"/>
      <c r="X51" s="11"/>
      <c r="Y51" s="11"/>
      <c r="Z51" s="11"/>
      <c r="AA51" s="11"/>
      <c r="AB51" s="11"/>
      <c r="AC51" s="11"/>
      <c r="AD51" s="11"/>
      <c r="AE51" s="11"/>
      <c r="AF51" s="11"/>
      <c r="AG51" s="11"/>
      <c r="AH51" s="11"/>
      <c r="AI51" s="11"/>
      <c r="AJ51" s="11"/>
      <c r="AK51" s="11"/>
      <c r="AL51" s="11"/>
      <c r="AM51" s="11"/>
    </row>
    <row r="52" spans="1:39" ht="12.75">
      <c r="A52" s="9"/>
      <c r="B52" s="116"/>
      <c r="C52" s="117"/>
      <c r="D52" s="5"/>
      <c r="E52" s="5"/>
      <c r="F52" s="5"/>
      <c r="G52" s="5"/>
      <c r="H52" s="5"/>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ht="12.75">
      <c r="A53" s="9"/>
      <c r="B53" s="116"/>
      <c r="C53" s="117"/>
      <c r="D53" s="5"/>
      <c r="E53" s="5"/>
      <c r="F53" s="5"/>
      <c r="G53" s="5"/>
      <c r="H53" s="5"/>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2.75">
      <c r="A54" s="9"/>
      <c r="B54" s="116"/>
      <c r="C54" s="117"/>
      <c r="D54" s="5"/>
      <c r="E54" s="5"/>
      <c r="F54" s="5"/>
      <c r="G54" s="5"/>
      <c r="H54" s="5"/>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ht="12.75">
      <c r="A55" s="9"/>
      <c r="B55" s="116"/>
      <c r="C55" s="117"/>
      <c r="D55" s="5"/>
      <c r="E55" s="5"/>
      <c r="F55" s="5"/>
      <c r="G55" s="5"/>
      <c r="H55" s="5"/>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row r="56" spans="1:39" ht="12.75">
      <c r="A56" s="9"/>
      <c r="B56" s="116"/>
      <c r="C56" s="117"/>
      <c r="D56" s="5"/>
      <c r="E56" s="5"/>
      <c r="F56" s="5"/>
      <c r="G56" s="5"/>
      <c r="H56" s="5"/>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row>
    <row r="57" spans="1:39" ht="12.75">
      <c r="A57" s="9"/>
      <c r="B57" s="116"/>
      <c r="C57" s="117"/>
      <c r="D57" s="5"/>
      <c r="E57" s="5"/>
      <c r="F57" s="5"/>
      <c r="G57" s="5"/>
      <c r="H57" s="5"/>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row>
    <row r="58" spans="1:39" ht="12.75">
      <c r="A58" s="9"/>
      <c r="B58" s="116"/>
      <c r="C58" s="117"/>
      <c r="D58" s="5"/>
      <c r="E58" s="5"/>
      <c r="F58" s="5"/>
      <c r="G58" s="5"/>
      <c r="H58" s="5"/>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row>
    <row r="59" spans="1:39" ht="12.75">
      <c r="A59" s="9"/>
      <c r="B59" s="116"/>
      <c r="C59" s="117"/>
      <c r="D59" s="5"/>
      <c r="E59" s="5"/>
      <c r="F59" s="5"/>
      <c r="G59" s="5"/>
      <c r="H59" s="5"/>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row>
    <row r="60" spans="1:39" ht="12.75">
      <c r="A60" s="9"/>
      <c r="B60" s="116"/>
      <c r="C60" s="117"/>
      <c r="D60" s="5"/>
      <c r="E60" s="5"/>
      <c r="F60" s="5"/>
      <c r="G60" s="5"/>
      <c r="H60" s="5"/>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row>
    <row r="61" spans="1:39" ht="12.75">
      <c r="A61" s="9"/>
      <c r="B61" s="116"/>
      <c r="C61" s="117"/>
      <c r="D61" s="5"/>
      <c r="E61" s="5"/>
      <c r="F61" s="5"/>
      <c r="G61" s="5"/>
      <c r="H61" s="5"/>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row>
    <row r="62" spans="1:39" ht="12.75">
      <c r="A62" s="9"/>
      <c r="B62" s="116"/>
      <c r="C62" s="117"/>
      <c r="D62" s="5"/>
      <c r="E62" s="5"/>
      <c r="F62" s="5"/>
      <c r="G62" s="5"/>
      <c r="H62" s="5"/>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row>
    <row r="63" spans="1:39" ht="12.75">
      <c r="A63" s="9"/>
      <c r="B63" s="116"/>
      <c r="C63" s="117"/>
      <c r="D63" s="5"/>
      <c r="E63" s="5"/>
      <c r="F63" s="5"/>
      <c r="G63" s="5"/>
      <c r="H63" s="5"/>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row>
    <row r="64" spans="1:39" ht="12.75">
      <c r="A64" s="9"/>
      <c r="B64" s="116"/>
      <c r="C64" s="117"/>
      <c r="D64" s="5"/>
      <c r="E64" s="5"/>
      <c r="F64" s="5"/>
      <c r="G64" s="5"/>
      <c r="H64" s="5"/>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row>
    <row r="65" spans="1:39" ht="12.75">
      <c r="A65" s="9"/>
      <c r="B65" s="116"/>
      <c r="C65" s="117"/>
      <c r="D65" s="5"/>
      <c r="E65" s="5"/>
      <c r="F65" s="5"/>
      <c r="G65" s="5"/>
      <c r="H65" s="5"/>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row>
    <row r="66" spans="1:39" ht="12.75">
      <c r="A66" s="9"/>
      <c r="B66" s="116"/>
      <c r="C66" s="117"/>
      <c r="D66" s="5"/>
      <c r="E66" s="5"/>
      <c r="F66" s="5"/>
      <c r="G66" s="5"/>
      <c r="H66" s="5"/>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row>
    <row r="67" spans="1:39" ht="12.75">
      <c r="A67" s="9"/>
      <c r="B67" s="116"/>
      <c r="C67" s="117"/>
      <c r="D67" s="5"/>
      <c r="E67" s="5"/>
      <c r="F67" s="5"/>
      <c r="G67" s="5"/>
      <c r="H67" s="5"/>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row>
    <row r="68" spans="1:39" ht="12.75">
      <c r="A68" s="9"/>
      <c r="B68" s="116"/>
      <c r="C68" s="117"/>
      <c r="D68" s="5"/>
      <c r="E68" s="5"/>
      <c r="F68" s="5"/>
      <c r="G68" s="5"/>
      <c r="H68" s="5"/>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row>
    <row r="69" spans="1:39" ht="12.75">
      <c r="A69" s="9"/>
      <c r="B69" s="116"/>
      <c r="C69" s="117"/>
      <c r="D69" s="5"/>
      <c r="E69" s="5"/>
      <c r="F69" s="5"/>
      <c r="G69" s="5"/>
      <c r="H69" s="5"/>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row>
    <row r="70" spans="1:39" ht="12.75">
      <c r="A70" s="9"/>
      <c r="B70" s="116"/>
      <c r="C70" s="117"/>
      <c r="D70" s="5"/>
      <c r="E70" s="5"/>
      <c r="F70" s="5"/>
      <c r="G70" s="5"/>
      <c r="H70" s="5"/>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row>
    <row r="71" spans="1:39" ht="12.75">
      <c r="A71" s="9"/>
      <c r="B71" s="116"/>
      <c r="C71" s="117"/>
      <c r="D71" s="5"/>
      <c r="E71" s="5"/>
      <c r="F71" s="5"/>
      <c r="G71" s="5"/>
      <c r="H71" s="5"/>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row>
    <row r="72" spans="1:39" ht="12.75">
      <c r="A72" s="9"/>
      <c r="B72" s="116"/>
      <c r="C72" s="117"/>
      <c r="D72" s="5"/>
      <c r="E72" s="5"/>
      <c r="F72" s="5"/>
      <c r="G72" s="5"/>
      <c r="H72" s="5"/>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row>
    <row r="73" spans="1:39" ht="12.75">
      <c r="A73" s="9"/>
      <c r="B73" s="116"/>
      <c r="C73" s="117"/>
      <c r="D73" s="5"/>
      <c r="E73" s="5"/>
      <c r="F73" s="5"/>
      <c r="G73" s="5"/>
      <c r="H73" s="5"/>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row>
    <row r="74" spans="1:39" ht="12.75">
      <c r="A74" s="9"/>
      <c r="B74" s="116"/>
      <c r="C74" s="117"/>
      <c r="D74" s="5"/>
      <c r="E74" s="5"/>
      <c r="F74" s="5"/>
      <c r="G74" s="5"/>
      <c r="H74" s="5"/>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row>
    <row r="75" spans="1:39" ht="12.75">
      <c r="A75" s="9"/>
      <c r="B75" s="116"/>
      <c r="C75" s="117"/>
      <c r="D75" s="5"/>
      <c r="E75" s="5"/>
      <c r="F75" s="5"/>
      <c r="G75" s="5"/>
      <c r="H75" s="5"/>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row>
    <row r="76" spans="1:39" ht="12.75">
      <c r="A76" s="9"/>
      <c r="B76" s="116"/>
      <c r="C76" s="117"/>
      <c r="D76" s="5"/>
      <c r="E76" s="5"/>
      <c r="F76" s="5"/>
      <c r="G76" s="5"/>
      <c r="H76" s="5"/>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row>
    <row r="77" spans="1:39" ht="12.75">
      <c r="A77" s="9"/>
      <c r="B77" s="116"/>
      <c r="C77" s="117"/>
      <c r="D77" s="5"/>
      <c r="E77" s="5"/>
      <c r="F77" s="5"/>
      <c r="G77" s="5"/>
      <c r="H77" s="5"/>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row>
    <row r="78" spans="1:39" ht="12.75">
      <c r="A78" s="9"/>
      <c r="B78" s="116"/>
      <c r="C78" s="117"/>
      <c r="D78" s="5"/>
      <c r="E78" s="5"/>
      <c r="F78" s="5"/>
      <c r="G78" s="5"/>
      <c r="H78" s="5"/>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row>
    <row r="79" spans="1:39" ht="12.75">
      <c r="A79" s="9"/>
      <c r="B79" s="116"/>
      <c r="C79" s="117"/>
      <c r="D79" s="5"/>
      <c r="E79" s="5"/>
      <c r="F79" s="5"/>
      <c r="G79" s="5"/>
      <c r="H79" s="5"/>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row>
    <row r="80" spans="1:39" ht="12">
      <c r="A80" s="5"/>
      <c r="B80" s="9"/>
      <c r="C80" s="5"/>
      <c r="D80" s="5"/>
      <c r="E80" s="5"/>
      <c r="F80" s="5"/>
      <c r="G80" s="5"/>
      <c r="H80" s="5"/>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row>
    <row r="81" spans="1:39" ht="12">
      <c r="A81" s="5"/>
      <c r="B81" s="9"/>
      <c r="C81" s="5"/>
      <c r="D81" s="5"/>
      <c r="E81" s="5"/>
      <c r="F81" s="5"/>
      <c r="G81" s="5"/>
      <c r="H81" s="5"/>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row>
    <row r="82" spans="1:39" ht="12">
      <c r="A82" s="5"/>
      <c r="B82" s="9"/>
      <c r="C82" s="5"/>
      <c r="D82" s="5"/>
      <c r="E82" s="5"/>
      <c r="F82" s="5"/>
      <c r="G82" s="5"/>
      <c r="H82" s="5"/>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row>
    <row r="83" spans="1:39" ht="12">
      <c r="A83" s="5"/>
      <c r="B83" s="9"/>
      <c r="C83" s="5"/>
      <c r="D83" s="5"/>
      <c r="E83" s="5"/>
      <c r="F83" s="5"/>
      <c r="G83" s="5"/>
      <c r="H83" s="5"/>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row>
    <row r="84" spans="1:39" ht="12">
      <c r="A84" s="5"/>
      <c r="B84" s="9"/>
      <c r="C84" s="5"/>
      <c r="D84" s="5"/>
      <c r="E84" s="5"/>
      <c r="F84" s="5"/>
      <c r="G84" s="5"/>
      <c r="H84" s="5"/>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row>
    <row r="85" spans="1:39" ht="12">
      <c r="A85" s="5"/>
      <c r="B85" s="9"/>
      <c r="C85" s="5"/>
      <c r="D85" s="5"/>
      <c r="E85" s="5"/>
      <c r="F85" s="5"/>
      <c r="G85" s="5"/>
      <c r="H85" s="5"/>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row>
    <row r="86" spans="1:39" ht="12">
      <c r="A86" s="5"/>
      <c r="B86" s="9"/>
      <c r="C86" s="5"/>
      <c r="D86" s="5"/>
      <c r="E86" s="5"/>
      <c r="F86" s="5"/>
      <c r="G86" s="5"/>
      <c r="H86" s="5"/>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row>
    <row r="87" spans="1:39" ht="12">
      <c r="A87" s="5"/>
      <c r="B87" s="9"/>
      <c r="C87" s="5"/>
      <c r="D87" s="5"/>
      <c r="E87" s="5"/>
      <c r="F87" s="5"/>
      <c r="G87" s="5"/>
      <c r="H87" s="5"/>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row>
    <row r="88" spans="1:39" ht="12">
      <c r="A88" s="5"/>
      <c r="B88" s="9"/>
      <c r="C88" s="5"/>
      <c r="D88" s="5"/>
      <c r="E88" s="5"/>
      <c r="F88" s="5"/>
      <c r="G88" s="5"/>
      <c r="H88" s="5"/>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row>
    <row r="89" spans="1:39" ht="12">
      <c r="A89" s="5"/>
      <c r="B89" s="9"/>
      <c r="C89" s="5"/>
      <c r="D89" s="5"/>
      <c r="E89" s="5"/>
      <c r="F89" s="5"/>
      <c r="G89" s="5"/>
      <c r="H89" s="5"/>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row>
    <row r="90" spans="1:39" ht="12">
      <c r="A90" s="5"/>
      <c r="B90" s="9"/>
      <c r="C90" s="5"/>
      <c r="D90" s="5"/>
      <c r="E90" s="5"/>
      <c r="F90" s="5"/>
      <c r="G90" s="5"/>
      <c r="H90" s="5"/>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row>
    <row r="91" spans="1:39" ht="12">
      <c r="A91" s="5"/>
      <c r="B91" s="9"/>
      <c r="C91" s="5"/>
      <c r="D91" s="5"/>
      <c r="E91" s="5"/>
      <c r="F91" s="5"/>
      <c r="G91" s="5"/>
      <c r="H91" s="5"/>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row>
    <row r="92" spans="1:39" ht="12">
      <c r="A92" s="5"/>
      <c r="B92" s="9"/>
      <c r="C92" s="5"/>
      <c r="D92" s="5"/>
      <c r="E92" s="5"/>
      <c r="F92" s="5"/>
      <c r="G92" s="5"/>
      <c r="H92" s="5"/>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row>
    <row r="93" spans="1:39" ht="12">
      <c r="A93" s="5"/>
      <c r="B93" s="9" t="s">
        <v>0</v>
      </c>
      <c r="C93" s="5"/>
      <c r="D93" s="5"/>
      <c r="E93" s="5"/>
      <c r="F93" s="5"/>
      <c r="G93" s="5"/>
      <c r="H93" s="5"/>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row>
    <row r="94" spans="1:39" ht="12">
      <c r="A94" s="5"/>
      <c r="B94" s="9" t="s">
        <v>0</v>
      </c>
      <c r="C94" s="5"/>
      <c r="D94" s="5"/>
      <c r="E94" s="5"/>
      <c r="F94" s="5"/>
      <c r="G94" s="5"/>
      <c r="H94" s="5"/>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row>
    <row r="95" spans="1:39" ht="12">
      <c r="A95" s="5"/>
      <c r="B95" s="9" t="s">
        <v>0</v>
      </c>
      <c r="C95" s="5"/>
      <c r="D95" s="5"/>
      <c r="E95" s="5"/>
      <c r="F95" s="5"/>
      <c r="G95" s="5"/>
      <c r="H95" s="5"/>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row>
    <row r="96" spans="1:39" ht="12">
      <c r="A96" s="5"/>
      <c r="B96" s="9" t="s">
        <v>0</v>
      </c>
      <c r="C96" s="5"/>
      <c r="D96" s="5"/>
      <c r="E96" s="5"/>
      <c r="F96" s="5"/>
      <c r="G96" s="5"/>
      <c r="H96" s="5"/>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row>
    <row r="97" spans="1:39" ht="12">
      <c r="A97" s="5"/>
      <c r="B97" s="9" t="s">
        <v>0</v>
      </c>
      <c r="C97" s="5"/>
      <c r="D97" s="5"/>
      <c r="E97" s="5"/>
      <c r="F97" s="5"/>
      <c r="G97" s="5"/>
      <c r="H97" s="5"/>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row>
    <row r="98" spans="1:39" ht="12">
      <c r="A98" s="5"/>
      <c r="B98" s="9" t="s">
        <v>0</v>
      </c>
      <c r="C98" s="5"/>
      <c r="D98" s="5"/>
      <c r="E98" s="5"/>
      <c r="F98" s="5"/>
      <c r="G98" s="5"/>
      <c r="H98" s="5"/>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row>
    <row r="99" spans="1:39" ht="12">
      <c r="A99" s="5"/>
      <c r="B99" s="9" t="s">
        <v>0</v>
      </c>
      <c r="C99" s="5"/>
      <c r="D99" s="5"/>
      <c r="E99" s="5"/>
      <c r="F99" s="5"/>
      <c r="G99" s="5"/>
      <c r="H99" s="5"/>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row>
    <row r="100" spans="1:39" ht="12">
      <c r="A100" s="5"/>
      <c r="B100" s="9" t="s">
        <v>0</v>
      </c>
      <c r="C100" s="5"/>
      <c r="D100" s="5"/>
      <c r="E100" s="5"/>
      <c r="F100" s="5"/>
      <c r="G100" s="5"/>
      <c r="H100" s="5"/>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row>
    <row r="101" spans="1:39" ht="12">
      <c r="A101" s="5"/>
      <c r="B101" s="9" t="s">
        <v>0</v>
      </c>
      <c r="C101" s="5"/>
      <c r="D101" s="5"/>
      <c r="E101" s="5"/>
      <c r="F101" s="5"/>
      <c r="G101" s="5"/>
      <c r="H101" s="5"/>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row>
    <row r="102" spans="1:39" ht="12">
      <c r="A102" s="5"/>
      <c r="B102" s="9" t="s">
        <v>0</v>
      </c>
      <c r="C102" s="5"/>
      <c r="D102" s="5"/>
      <c r="E102" s="5"/>
      <c r="F102" s="5"/>
      <c r="G102" s="5"/>
      <c r="H102" s="5"/>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row>
    <row r="103" spans="1:39" ht="12">
      <c r="A103" s="5"/>
      <c r="B103" s="9" t="s">
        <v>0</v>
      </c>
      <c r="C103" s="5"/>
      <c r="D103" s="5"/>
      <c r="E103" s="5"/>
      <c r="F103" s="5"/>
      <c r="G103" s="5"/>
      <c r="H103" s="5"/>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row>
    <row r="104" spans="1:39" ht="12">
      <c r="A104" s="5"/>
      <c r="B104" s="9" t="s">
        <v>0</v>
      </c>
      <c r="C104" s="5"/>
      <c r="D104" s="5"/>
      <c r="E104" s="5"/>
      <c r="F104" s="5"/>
      <c r="G104" s="5"/>
      <c r="H104" s="5"/>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row>
    <row r="105" spans="1:39" ht="12">
      <c r="A105" s="5"/>
      <c r="B105" s="9" t="s">
        <v>0</v>
      </c>
      <c r="C105" s="5"/>
      <c r="D105" s="5"/>
      <c r="E105" s="5"/>
      <c r="F105" s="5"/>
      <c r="G105" s="5"/>
      <c r="H105" s="5"/>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row>
    <row r="106" spans="1:39" ht="12">
      <c r="A106" s="5"/>
      <c r="B106" s="9" t="s">
        <v>0</v>
      </c>
      <c r="C106" s="5"/>
      <c r="D106" s="5"/>
      <c r="E106" s="5"/>
      <c r="F106" s="5"/>
      <c r="G106" s="5"/>
      <c r="H106" s="5"/>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row>
    <row r="107" spans="1:39" ht="12">
      <c r="A107" s="5"/>
      <c r="B107" s="9"/>
      <c r="C107" s="5"/>
      <c r="D107" s="5"/>
      <c r="E107" s="5"/>
      <c r="F107" s="5"/>
      <c r="G107" s="5"/>
      <c r="H107" s="5"/>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row>
    <row r="108" spans="1:39" ht="12">
      <c r="A108" s="5"/>
      <c r="B108" s="9"/>
      <c r="C108" s="5"/>
      <c r="D108" s="5"/>
      <c r="E108" s="5"/>
      <c r="F108" s="5"/>
      <c r="G108" s="5"/>
      <c r="H108" s="5"/>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row>
    <row r="109" spans="1:39" ht="12">
      <c r="A109" s="5"/>
      <c r="B109" s="9" t="s">
        <v>0</v>
      </c>
      <c r="C109" s="5"/>
      <c r="D109" s="5"/>
      <c r="E109" s="5"/>
      <c r="F109" s="5"/>
      <c r="G109" s="5"/>
      <c r="H109" s="5"/>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row>
    <row r="110" spans="1:39" ht="12">
      <c r="A110" s="5"/>
      <c r="B110" s="9" t="s">
        <v>0</v>
      </c>
      <c r="C110" s="5"/>
      <c r="D110" s="5"/>
      <c r="E110" s="5"/>
      <c r="F110" s="5"/>
      <c r="G110" s="5"/>
      <c r="H110" s="5"/>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row>
    <row r="111" spans="1:39" ht="12">
      <c r="A111" s="5"/>
      <c r="B111" s="9" t="s">
        <v>0</v>
      </c>
      <c r="C111" s="5"/>
      <c r="D111" s="5"/>
      <c r="E111" s="5"/>
      <c r="F111" s="5"/>
      <c r="G111" s="5"/>
      <c r="H111" s="5"/>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row>
    <row r="112" spans="1:39" ht="12">
      <c r="A112" s="5"/>
      <c r="B112" s="9" t="s">
        <v>0</v>
      </c>
      <c r="C112" s="5"/>
      <c r="D112" s="5"/>
      <c r="E112" s="5"/>
      <c r="F112" s="5"/>
      <c r="G112" s="5"/>
      <c r="H112" s="5"/>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row>
    <row r="113" spans="1:39" ht="12">
      <c r="A113" s="5"/>
      <c r="B113" s="9" t="s">
        <v>0</v>
      </c>
      <c r="C113" s="5"/>
      <c r="D113" s="5"/>
      <c r="E113" s="5"/>
      <c r="F113" s="5"/>
      <c r="G113" s="5"/>
      <c r="H113" s="5"/>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row>
    <row r="114" spans="1:39" ht="12">
      <c r="A114" s="5"/>
      <c r="B114" s="9" t="s">
        <v>0</v>
      </c>
      <c r="C114" s="5"/>
      <c r="D114" s="5"/>
      <c r="E114" s="5"/>
      <c r="F114" s="5"/>
      <c r="G114" s="5"/>
      <c r="H114" s="5"/>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row>
    <row r="115" spans="1:18" ht="12">
      <c r="A115" s="5"/>
      <c r="B115" s="9" t="s">
        <v>0</v>
      </c>
      <c r="C115" s="5"/>
      <c r="D115" s="5"/>
      <c r="E115" s="5"/>
      <c r="F115" s="5"/>
      <c r="G115" s="5"/>
      <c r="H115" s="5"/>
      <c r="I115" s="17"/>
      <c r="J115" s="17"/>
      <c r="K115" s="17"/>
      <c r="L115" s="17"/>
      <c r="M115" s="95"/>
      <c r="N115" s="17"/>
      <c r="O115" s="17"/>
      <c r="P115" s="17"/>
      <c r="Q115" s="17"/>
      <c r="R115" s="17"/>
    </row>
    <row r="116" spans="1:18" ht="12">
      <c r="A116" s="5"/>
      <c r="B116" s="9"/>
      <c r="C116" s="5"/>
      <c r="D116" s="5"/>
      <c r="E116" s="5"/>
      <c r="F116" s="5"/>
      <c r="G116" s="5"/>
      <c r="H116" s="5"/>
      <c r="I116" s="17"/>
      <c r="J116" s="17"/>
      <c r="K116" s="17"/>
      <c r="L116" s="17"/>
      <c r="M116" s="95"/>
      <c r="N116" s="17"/>
      <c r="O116" s="17"/>
      <c r="P116" s="17"/>
      <c r="Q116" s="17"/>
      <c r="R116" s="17"/>
    </row>
    <row r="117" spans="1:18" ht="12">
      <c r="A117" s="5"/>
      <c r="B117" s="9"/>
      <c r="C117" s="5"/>
      <c r="D117" s="5"/>
      <c r="E117" s="5"/>
      <c r="F117" s="5"/>
      <c r="G117" s="5"/>
      <c r="H117" s="5"/>
      <c r="I117" s="17"/>
      <c r="J117" s="17"/>
      <c r="K117" s="17"/>
      <c r="L117" s="17"/>
      <c r="M117" s="95"/>
      <c r="N117" s="17"/>
      <c r="O117" s="17"/>
      <c r="P117" s="17"/>
      <c r="Q117" s="17"/>
      <c r="R117" s="17"/>
    </row>
    <row r="118" spans="1:18" ht="12">
      <c r="A118" s="5"/>
      <c r="B118" s="9"/>
      <c r="C118" s="5"/>
      <c r="D118" s="5"/>
      <c r="E118" s="5"/>
      <c r="F118" s="5"/>
      <c r="G118" s="5"/>
      <c r="H118" s="5"/>
      <c r="I118" s="17"/>
      <c r="J118" s="17"/>
      <c r="K118" s="17"/>
      <c r="L118" s="17"/>
      <c r="M118" s="95"/>
      <c r="N118" s="17"/>
      <c r="O118" s="17"/>
      <c r="P118" s="17"/>
      <c r="Q118" s="17"/>
      <c r="R118" s="17"/>
    </row>
    <row r="119" spans="1:18" ht="12">
      <c r="A119" s="5"/>
      <c r="B119" s="9" t="s">
        <v>0</v>
      </c>
      <c r="C119" s="5"/>
      <c r="D119" s="5"/>
      <c r="E119" s="5"/>
      <c r="F119" s="5"/>
      <c r="G119" s="5"/>
      <c r="H119" s="5"/>
      <c r="I119" s="17"/>
      <c r="J119" s="17"/>
      <c r="K119" s="17"/>
      <c r="L119" s="17"/>
      <c r="M119" s="95"/>
      <c r="N119" s="17"/>
      <c r="O119" s="17"/>
      <c r="P119" s="17"/>
      <c r="Q119" s="17"/>
      <c r="R119" s="17"/>
    </row>
    <row r="120" spans="1:18" ht="12">
      <c r="A120" s="5"/>
      <c r="B120" s="9" t="s">
        <v>0</v>
      </c>
      <c r="C120" s="5"/>
      <c r="D120" s="5"/>
      <c r="E120" s="5"/>
      <c r="F120" s="5"/>
      <c r="G120" s="5"/>
      <c r="H120" s="5"/>
      <c r="I120" s="17"/>
      <c r="J120" s="17"/>
      <c r="K120" s="17"/>
      <c r="L120" s="17"/>
      <c r="M120" s="95"/>
      <c r="N120" s="17"/>
      <c r="O120" s="17"/>
      <c r="P120" s="17"/>
      <c r="Q120" s="17"/>
      <c r="R120" s="17"/>
    </row>
    <row r="121" spans="1:18" ht="12">
      <c r="A121" s="5"/>
      <c r="B121" s="9" t="s">
        <v>0</v>
      </c>
      <c r="C121" s="5"/>
      <c r="D121" s="5"/>
      <c r="E121" s="5"/>
      <c r="F121" s="5"/>
      <c r="G121" s="5"/>
      <c r="H121" s="5"/>
      <c r="I121" s="17"/>
      <c r="J121" s="17"/>
      <c r="K121" s="17"/>
      <c r="L121" s="17"/>
      <c r="M121" s="95"/>
      <c r="N121" s="17"/>
      <c r="O121" s="17"/>
      <c r="P121" s="17"/>
      <c r="Q121" s="17"/>
      <c r="R121" s="17"/>
    </row>
    <row r="122" spans="1:18" ht="12">
      <c r="A122" s="5"/>
      <c r="B122" s="9" t="s">
        <v>0</v>
      </c>
      <c r="C122" s="5"/>
      <c r="D122" s="5"/>
      <c r="E122" s="5"/>
      <c r="F122" s="5"/>
      <c r="G122" s="5"/>
      <c r="H122" s="5"/>
      <c r="I122" s="17"/>
      <c r="J122" s="17"/>
      <c r="K122" s="17"/>
      <c r="L122" s="17"/>
      <c r="M122" s="95"/>
      <c r="N122" s="17"/>
      <c r="O122" s="17"/>
      <c r="P122" s="17"/>
      <c r="Q122" s="17"/>
      <c r="R122" s="17"/>
    </row>
    <row r="123" spans="1:18" ht="12">
      <c r="A123" s="5"/>
      <c r="B123" s="9" t="s">
        <v>0</v>
      </c>
      <c r="C123" s="5"/>
      <c r="D123" s="5"/>
      <c r="E123" s="5"/>
      <c r="F123" s="5"/>
      <c r="G123" s="5"/>
      <c r="H123" s="5"/>
      <c r="I123" s="17"/>
      <c r="J123" s="17"/>
      <c r="K123" s="17"/>
      <c r="L123" s="17"/>
      <c r="M123" s="95"/>
      <c r="N123" s="17"/>
      <c r="O123" s="17"/>
      <c r="P123" s="17"/>
      <c r="Q123" s="17"/>
      <c r="R123" s="17"/>
    </row>
    <row r="124" spans="1:18" ht="12">
      <c r="A124" s="5"/>
      <c r="B124" s="9" t="s">
        <v>0</v>
      </c>
      <c r="C124" s="5"/>
      <c r="D124" s="5"/>
      <c r="E124" s="5"/>
      <c r="F124" s="5"/>
      <c r="G124" s="5"/>
      <c r="H124" s="5"/>
      <c r="I124" s="17"/>
      <c r="J124" s="17"/>
      <c r="K124" s="17"/>
      <c r="L124" s="17"/>
      <c r="M124" s="95"/>
      <c r="N124" s="17"/>
      <c r="O124" s="17"/>
      <c r="P124" s="17"/>
      <c r="Q124" s="17"/>
      <c r="R124" s="17"/>
    </row>
    <row r="125" spans="1:18" ht="12">
      <c r="A125" s="5"/>
      <c r="B125" s="9" t="s">
        <v>0</v>
      </c>
      <c r="C125" s="5"/>
      <c r="D125" s="5"/>
      <c r="E125" s="5"/>
      <c r="F125" s="5"/>
      <c r="G125" s="5"/>
      <c r="H125" s="5"/>
      <c r="I125" s="17"/>
      <c r="J125" s="17"/>
      <c r="K125" s="17"/>
      <c r="L125" s="17"/>
      <c r="M125" s="95"/>
      <c r="N125" s="17"/>
      <c r="O125" s="17"/>
      <c r="P125" s="17"/>
      <c r="Q125" s="17"/>
      <c r="R125" s="17"/>
    </row>
    <row r="126" spans="1:18" ht="12">
      <c r="A126" s="5"/>
      <c r="B126" s="9" t="s">
        <v>0</v>
      </c>
      <c r="C126" s="5"/>
      <c r="D126" s="5"/>
      <c r="E126" s="5"/>
      <c r="F126" s="5"/>
      <c r="G126" s="5"/>
      <c r="H126" s="5"/>
      <c r="I126" s="17"/>
      <c r="J126" s="17"/>
      <c r="K126" s="17"/>
      <c r="L126" s="17"/>
      <c r="M126" s="95"/>
      <c r="N126" s="17"/>
      <c r="O126" s="17"/>
      <c r="P126" s="17"/>
      <c r="Q126" s="17"/>
      <c r="R126" s="17"/>
    </row>
    <row r="127" spans="1:18" ht="12">
      <c r="A127" s="5"/>
      <c r="B127" s="9" t="s">
        <v>0</v>
      </c>
      <c r="C127" s="5"/>
      <c r="D127" s="5"/>
      <c r="E127" s="5"/>
      <c r="F127" s="5"/>
      <c r="G127" s="5"/>
      <c r="H127" s="5"/>
      <c r="I127" s="17"/>
      <c r="J127" s="17"/>
      <c r="K127" s="17"/>
      <c r="L127" s="17"/>
      <c r="M127" s="95"/>
      <c r="N127" s="17"/>
      <c r="O127" s="17"/>
      <c r="P127" s="17"/>
      <c r="Q127" s="17"/>
      <c r="R127" s="17"/>
    </row>
    <row r="128" spans="1:18" ht="12">
      <c r="A128" s="5"/>
      <c r="B128" s="9" t="s">
        <v>0</v>
      </c>
      <c r="C128" s="5"/>
      <c r="D128" s="5"/>
      <c r="E128" s="5"/>
      <c r="F128" s="5"/>
      <c r="G128" s="5"/>
      <c r="H128" s="5"/>
      <c r="I128" s="17"/>
      <c r="J128" s="17"/>
      <c r="K128" s="17"/>
      <c r="L128" s="17"/>
      <c r="M128" s="95"/>
      <c r="N128" s="17"/>
      <c r="O128" s="17"/>
      <c r="P128" s="17"/>
      <c r="Q128" s="17"/>
      <c r="R128" s="17"/>
    </row>
    <row r="129" spans="1:18" ht="12">
      <c r="A129" s="5"/>
      <c r="B129" s="9" t="s">
        <v>0</v>
      </c>
      <c r="C129" s="5"/>
      <c r="D129" s="5"/>
      <c r="E129" s="5"/>
      <c r="F129" s="5"/>
      <c r="G129" s="5"/>
      <c r="H129" s="5"/>
      <c r="I129" s="17"/>
      <c r="J129" s="17"/>
      <c r="K129" s="17"/>
      <c r="L129" s="17"/>
      <c r="M129" s="95"/>
      <c r="N129" s="17"/>
      <c r="O129" s="17"/>
      <c r="P129" s="17"/>
      <c r="Q129" s="17"/>
      <c r="R129" s="17"/>
    </row>
    <row r="130" spans="1:18" ht="12">
      <c r="A130" s="5"/>
      <c r="B130" s="9" t="s">
        <v>0</v>
      </c>
      <c r="C130" s="5"/>
      <c r="D130" s="5"/>
      <c r="E130" s="5"/>
      <c r="F130" s="5"/>
      <c r="G130" s="5"/>
      <c r="H130" s="5"/>
      <c r="I130" s="17"/>
      <c r="J130" s="17"/>
      <c r="K130" s="17"/>
      <c r="L130" s="17"/>
      <c r="M130" s="95"/>
      <c r="N130" s="17"/>
      <c r="O130" s="17"/>
      <c r="P130" s="17"/>
      <c r="Q130" s="17"/>
      <c r="R130" s="17"/>
    </row>
    <row r="131" spans="1:18" ht="12">
      <c r="A131" s="5"/>
      <c r="B131" s="9" t="s">
        <v>0</v>
      </c>
      <c r="C131" s="5"/>
      <c r="D131" s="5"/>
      <c r="E131" s="5"/>
      <c r="F131" s="5"/>
      <c r="G131" s="5"/>
      <c r="H131" s="5"/>
      <c r="I131" s="17"/>
      <c r="J131" s="17"/>
      <c r="K131" s="17"/>
      <c r="L131" s="17"/>
      <c r="M131" s="95"/>
      <c r="N131" s="17"/>
      <c r="O131" s="17"/>
      <c r="P131" s="17"/>
      <c r="Q131" s="17"/>
      <c r="R131" s="17"/>
    </row>
    <row r="132" spans="1:18" ht="12">
      <c r="A132" s="5"/>
      <c r="B132" s="9" t="s">
        <v>0</v>
      </c>
      <c r="C132" s="5"/>
      <c r="D132" s="5"/>
      <c r="E132" s="5"/>
      <c r="F132" s="5"/>
      <c r="G132" s="5"/>
      <c r="H132" s="5"/>
      <c r="I132" s="17"/>
      <c r="J132" s="17"/>
      <c r="K132" s="17"/>
      <c r="L132" s="17"/>
      <c r="M132" s="95"/>
      <c r="N132" s="17"/>
      <c r="O132" s="17"/>
      <c r="P132" s="17"/>
      <c r="Q132" s="17"/>
      <c r="R132" s="17"/>
    </row>
    <row r="133" spans="1:18" ht="12">
      <c r="A133" s="5"/>
      <c r="B133" s="9"/>
      <c r="C133" s="5"/>
      <c r="D133" s="5"/>
      <c r="E133" s="5"/>
      <c r="F133" s="5"/>
      <c r="G133" s="5"/>
      <c r="H133" s="5"/>
      <c r="I133" s="17"/>
      <c r="J133" s="17"/>
      <c r="K133" s="17"/>
      <c r="L133" s="17"/>
      <c r="M133" s="95"/>
      <c r="N133" s="17"/>
      <c r="O133" s="17"/>
      <c r="P133" s="17"/>
      <c r="Q133" s="17"/>
      <c r="R133" s="17"/>
    </row>
    <row r="134" spans="1:18" ht="12">
      <c r="A134" s="5"/>
      <c r="B134" s="9" t="s">
        <v>0</v>
      </c>
      <c r="C134" s="5"/>
      <c r="D134" s="5"/>
      <c r="E134" s="5"/>
      <c r="F134" s="5"/>
      <c r="G134" s="5"/>
      <c r="H134" s="5"/>
      <c r="I134" s="17"/>
      <c r="J134" s="17"/>
      <c r="K134" s="17"/>
      <c r="L134" s="17"/>
      <c r="M134" s="95"/>
      <c r="N134" s="17"/>
      <c r="O134" s="17"/>
      <c r="P134" s="17"/>
      <c r="Q134" s="17"/>
      <c r="R134" s="17"/>
    </row>
    <row r="135" spans="1:18" ht="12">
      <c r="A135" s="5"/>
      <c r="B135" s="9" t="s">
        <v>0</v>
      </c>
      <c r="C135" s="5"/>
      <c r="D135" s="5"/>
      <c r="E135" s="5"/>
      <c r="F135" s="5"/>
      <c r="G135" s="5"/>
      <c r="H135" s="5"/>
      <c r="I135" s="17"/>
      <c r="J135" s="17"/>
      <c r="K135" s="17"/>
      <c r="L135" s="17"/>
      <c r="M135" s="95"/>
      <c r="N135" s="17"/>
      <c r="O135" s="17"/>
      <c r="P135" s="17"/>
      <c r="Q135" s="17"/>
      <c r="R135" s="17"/>
    </row>
    <row r="136" spans="1:18" ht="12">
      <c r="A136" s="5"/>
      <c r="B136" s="9" t="s">
        <v>0</v>
      </c>
      <c r="C136" s="5"/>
      <c r="D136" s="5"/>
      <c r="E136" s="5"/>
      <c r="F136" s="5"/>
      <c r="G136" s="5"/>
      <c r="H136" s="5"/>
      <c r="I136" s="17"/>
      <c r="J136" s="17"/>
      <c r="K136" s="17"/>
      <c r="L136" s="17"/>
      <c r="M136" s="95"/>
      <c r="N136" s="17"/>
      <c r="O136" s="17"/>
      <c r="P136" s="17"/>
      <c r="Q136" s="17"/>
      <c r="R136" s="17"/>
    </row>
    <row r="137" spans="1:18" ht="12">
      <c r="A137" s="5"/>
      <c r="B137" s="9" t="s">
        <v>0</v>
      </c>
      <c r="C137" s="5"/>
      <c r="D137" s="5"/>
      <c r="E137" s="5"/>
      <c r="F137" s="5"/>
      <c r="G137" s="5"/>
      <c r="H137" s="5"/>
      <c r="I137" s="17"/>
      <c r="J137" s="17"/>
      <c r="K137" s="17"/>
      <c r="L137" s="17"/>
      <c r="M137" s="95"/>
      <c r="N137" s="17"/>
      <c r="O137" s="17"/>
      <c r="P137" s="17"/>
      <c r="Q137" s="17"/>
      <c r="R137" s="17"/>
    </row>
    <row r="138" spans="1:18" ht="12">
      <c r="A138" s="5"/>
      <c r="B138" s="9"/>
      <c r="C138" s="5"/>
      <c r="D138" s="5"/>
      <c r="E138" s="5"/>
      <c r="F138" s="5"/>
      <c r="G138" s="5"/>
      <c r="H138" s="5"/>
      <c r="I138" s="17"/>
      <c r="J138" s="17"/>
      <c r="K138" s="17"/>
      <c r="L138" s="17"/>
      <c r="M138" s="95"/>
      <c r="N138" s="17"/>
      <c r="O138" s="17"/>
      <c r="P138" s="17"/>
      <c r="Q138" s="17"/>
      <c r="R138" s="17"/>
    </row>
    <row r="139" spans="1:18" ht="12">
      <c r="A139" s="5"/>
      <c r="B139" s="9"/>
      <c r="C139" s="5"/>
      <c r="D139" s="5"/>
      <c r="E139" s="5"/>
      <c r="F139" s="5"/>
      <c r="G139" s="5"/>
      <c r="H139" s="5"/>
      <c r="I139" s="17"/>
      <c r="J139" s="17"/>
      <c r="K139" s="17"/>
      <c r="L139" s="17"/>
      <c r="M139" s="95"/>
      <c r="N139" s="17"/>
      <c r="O139" s="17"/>
      <c r="P139" s="17"/>
      <c r="Q139" s="17"/>
      <c r="R139" s="17"/>
    </row>
    <row r="140" spans="1:18" ht="12">
      <c r="A140" s="5"/>
      <c r="B140" s="9"/>
      <c r="C140" s="5"/>
      <c r="D140" s="5"/>
      <c r="E140" s="5"/>
      <c r="F140" s="5"/>
      <c r="G140" s="5"/>
      <c r="H140" s="5"/>
      <c r="I140" s="17"/>
      <c r="J140" s="17"/>
      <c r="K140" s="17"/>
      <c r="L140" s="17"/>
      <c r="M140" s="95"/>
      <c r="N140" s="17"/>
      <c r="O140" s="17"/>
      <c r="P140" s="17"/>
      <c r="Q140" s="17"/>
      <c r="R140" s="17"/>
    </row>
    <row r="141" spans="1:18" ht="12">
      <c r="A141" s="5"/>
      <c r="B141" s="9"/>
      <c r="C141" s="5"/>
      <c r="D141" s="5"/>
      <c r="E141" s="5"/>
      <c r="F141" s="5"/>
      <c r="G141" s="5"/>
      <c r="H141" s="5"/>
      <c r="I141" s="17"/>
      <c r="J141" s="17"/>
      <c r="K141" s="17"/>
      <c r="L141" s="17"/>
      <c r="M141" s="95"/>
      <c r="N141" s="17"/>
      <c r="O141" s="17"/>
      <c r="P141" s="17"/>
      <c r="Q141" s="17"/>
      <c r="R141" s="17"/>
    </row>
    <row r="142" spans="1:18" ht="12">
      <c r="A142" s="5"/>
      <c r="B142" s="9"/>
      <c r="C142" s="5"/>
      <c r="D142" s="5"/>
      <c r="E142" s="5"/>
      <c r="F142" s="5"/>
      <c r="G142" s="5"/>
      <c r="H142" s="5"/>
      <c r="I142" s="17"/>
      <c r="J142" s="17"/>
      <c r="K142" s="17"/>
      <c r="L142" s="17"/>
      <c r="M142" s="95"/>
      <c r="N142" s="17"/>
      <c r="O142" s="17"/>
      <c r="P142" s="17"/>
      <c r="Q142" s="17"/>
      <c r="R142" s="17"/>
    </row>
    <row r="143" spans="1:18" ht="12">
      <c r="A143" s="5"/>
      <c r="B143" s="9"/>
      <c r="C143" s="5"/>
      <c r="D143" s="5"/>
      <c r="E143" s="5"/>
      <c r="F143" s="5"/>
      <c r="G143" s="5"/>
      <c r="H143" s="5"/>
      <c r="I143" s="17"/>
      <c r="J143" s="17"/>
      <c r="K143" s="17"/>
      <c r="L143" s="17"/>
      <c r="M143" s="95"/>
      <c r="N143" s="17"/>
      <c r="O143" s="17"/>
      <c r="P143" s="17"/>
      <c r="Q143" s="17"/>
      <c r="R143" s="17"/>
    </row>
    <row r="144" spans="1:18" ht="12">
      <c r="A144" s="5"/>
      <c r="B144" s="9"/>
      <c r="C144" s="5"/>
      <c r="D144" s="5"/>
      <c r="E144" s="5"/>
      <c r="F144" s="5"/>
      <c r="G144" s="5"/>
      <c r="H144" s="5"/>
      <c r="I144" s="17"/>
      <c r="J144" s="17"/>
      <c r="K144" s="17"/>
      <c r="L144" s="17"/>
      <c r="M144" s="95"/>
      <c r="N144" s="17"/>
      <c r="O144" s="17"/>
      <c r="P144" s="17"/>
      <c r="Q144" s="17"/>
      <c r="R144" s="17"/>
    </row>
    <row r="145" spans="1:18" ht="12">
      <c r="A145" s="5"/>
      <c r="B145" s="9"/>
      <c r="C145" s="5"/>
      <c r="D145" s="5"/>
      <c r="E145" s="5"/>
      <c r="F145" s="5"/>
      <c r="G145" s="5"/>
      <c r="H145" s="5"/>
      <c r="I145" s="17"/>
      <c r="J145" s="17"/>
      <c r="K145" s="17"/>
      <c r="L145" s="17"/>
      <c r="M145" s="95"/>
      <c r="N145" s="17"/>
      <c r="O145" s="17"/>
      <c r="P145" s="17"/>
      <c r="Q145" s="17"/>
      <c r="R145" s="17"/>
    </row>
    <row r="146" spans="1:18" ht="12">
      <c r="A146" s="5"/>
      <c r="B146" s="9"/>
      <c r="C146" s="5"/>
      <c r="D146" s="5"/>
      <c r="E146" s="5"/>
      <c r="F146" s="5"/>
      <c r="G146" s="5"/>
      <c r="H146" s="5"/>
      <c r="I146" s="17"/>
      <c r="J146" s="17"/>
      <c r="K146" s="17"/>
      <c r="L146" s="17"/>
      <c r="M146" s="95"/>
      <c r="N146" s="17"/>
      <c r="O146" s="17"/>
      <c r="P146" s="17"/>
      <c r="Q146" s="17"/>
      <c r="R146" s="17"/>
    </row>
    <row r="147" spans="1:18" ht="12">
      <c r="A147" s="5"/>
      <c r="B147" s="9"/>
      <c r="C147" s="5"/>
      <c r="D147" s="5"/>
      <c r="E147" s="5"/>
      <c r="F147" s="5"/>
      <c r="G147" s="5"/>
      <c r="H147" s="5"/>
      <c r="I147" s="17"/>
      <c r="J147" s="17"/>
      <c r="K147" s="17"/>
      <c r="L147" s="17"/>
      <c r="M147" s="95"/>
      <c r="N147" s="17"/>
      <c r="O147" s="17"/>
      <c r="P147" s="17"/>
      <c r="Q147" s="17"/>
      <c r="R147" s="17"/>
    </row>
    <row r="148" spans="1:18" ht="12">
      <c r="A148" s="5"/>
      <c r="B148" s="9"/>
      <c r="C148" s="5"/>
      <c r="D148" s="5"/>
      <c r="E148" s="5"/>
      <c r="F148" s="5"/>
      <c r="G148" s="5"/>
      <c r="H148" s="5"/>
      <c r="I148" s="17"/>
      <c r="J148" s="17"/>
      <c r="K148" s="17"/>
      <c r="L148" s="17"/>
      <c r="M148" s="95"/>
      <c r="N148" s="17"/>
      <c r="O148" s="17"/>
      <c r="P148" s="17"/>
      <c r="Q148" s="17"/>
      <c r="R148" s="17"/>
    </row>
    <row r="149" spans="1:18" ht="12">
      <c r="A149" s="5"/>
      <c r="B149" s="9"/>
      <c r="C149" s="5"/>
      <c r="D149" s="5"/>
      <c r="E149" s="5"/>
      <c r="F149" s="5"/>
      <c r="G149" s="5"/>
      <c r="H149" s="5"/>
      <c r="I149" s="17"/>
      <c r="J149" s="17"/>
      <c r="K149" s="17"/>
      <c r="L149" s="17"/>
      <c r="M149" s="95"/>
      <c r="N149" s="17"/>
      <c r="O149" s="17"/>
      <c r="P149" s="17"/>
      <c r="Q149" s="17"/>
      <c r="R149" s="17"/>
    </row>
    <row r="150" spans="1:18" ht="12">
      <c r="A150" s="5"/>
      <c r="B150" s="9"/>
      <c r="C150" s="5"/>
      <c r="D150" s="5"/>
      <c r="E150" s="5"/>
      <c r="F150" s="5"/>
      <c r="G150" s="5"/>
      <c r="H150" s="5"/>
      <c r="I150" s="17"/>
      <c r="J150" s="17"/>
      <c r="K150" s="17"/>
      <c r="L150" s="17"/>
      <c r="M150" s="95"/>
      <c r="N150" s="17"/>
      <c r="O150" s="17"/>
      <c r="P150" s="17"/>
      <c r="Q150" s="17"/>
      <c r="R150" s="17"/>
    </row>
    <row r="151" spans="1:18" ht="12">
      <c r="A151" s="5"/>
      <c r="B151" s="9"/>
      <c r="C151" s="5"/>
      <c r="D151" s="5"/>
      <c r="E151" s="5"/>
      <c r="F151" s="5"/>
      <c r="G151" s="5"/>
      <c r="H151" s="5"/>
      <c r="I151" s="17"/>
      <c r="J151" s="17"/>
      <c r="K151" s="17"/>
      <c r="L151" s="17"/>
      <c r="M151" s="95"/>
      <c r="N151" s="17"/>
      <c r="O151" s="17"/>
      <c r="P151" s="17"/>
      <c r="Q151" s="17"/>
      <c r="R151" s="17"/>
    </row>
    <row r="152" spans="1:18" ht="12">
      <c r="A152" s="5"/>
      <c r="B152" s="9"/>
      <c r="C152" s="5"/>
      <c r="D152" s="5"/>
      <c r="E152" s="5"/>
      <c r="F152" s="5"/>
      <c r="G152" s="5"/>
      <c r="H152" s="5"/>
      <c r="I152" s="17"/>
      <c r="J152" s="17"/>
      <c r="K152" s="17"/>
      <c r="L152" s="17"/>
      <c r="M152" s="95"/>
      <c r="N152" s="17"/>
      <c r="O152" s="17"/>
      <c r="P152" s="17"/>
      <c r="Q152" s="17"/>
      <c r="R152" s="17"/>
    </row>
    <row r="153" spans="1:18" ht="12">
      <c r="A153" s="5"/>
      <c r="B153" s="9"/>
      <c r="C153" s="5"/>
      <c r="D153" s="5"/>
      <c r="E153" s="5"/>
      <c r="F153" s="5"/>
      <c r="G153" s="5"/>
      <c r="H153" s="5"/>
      <c r="I153" s="17"/>
      <c r="J153" s="17"/>
      <c r="K153" s="17"/>
      <c r="L153" s="17"/>
      <c r="M153" s="95"/>
      <c r="N153" s="17"/>
      <c r="O153" s="17"/>
      <c r="P153" s="17"/>
      <c r="Q153" s="17"/>
      <c r="R153" s="17"/>
    </row>
    <row r="154" spans="1:18" ht="12">
      <c r="A154" s="5"/>
      <c r="B154" s="9"/>
      <c r="C154" s="5"/>
      <c r="D154" s="5"/>
      <c r="E154" s="5"/>
      <c r="F154" s="5"/>
      <c r="G154" s="5"/>
      <c r="H154" s="5"/>
      <c r="I154" s="17"/>
      <c r="J154" s="17"/>
      <c r="K154" s="17"/>
      <c r="L154" s="17"/>
      <c r="M154" s="95"/>
      <c r="N154" s="17"/>
      <c r="O154" s="17"/>
      <c r="P154" s="17"/>
      <c r="Q154" s="17"/>
      <c r="R154" s="17"/>
    </row>
    <row r="155" spans="1:18" ht="12">
      <c r="A155" s="5"/>
      <c r="B155" s="9"/>
      <c r="C155" s="5"/>
      <c r="D155" s="5"/>
      <c r="E155" s="5"/>
      <c r="F155" s="5"/>
      <c r="G155" s="5"/>
      <c r="H155" s="5"/>
      <c r="I155" s="17"/>
      <c r="J155" s="17"/>
      <c r="K155" s="17"/>
      <c r="L155" s="17"/>
      <c r="M155" s="95"/>
      <c r="N155" s="17"/>
      <c r="O155" s="17"/>
      <c r="P155" s="17"/>
      <c r="Q155" s="17"/>
      <c r="R155" s="17"/>
    </row>
    <row r="156" spans="1:18" ht="12">
      <c r="A156" s="5"/>
      <c r="B156" s="9"/>
      <c r="C156" s="5"/>
      <c r="D156" s="5"/>
      <c r="E156" s="5"/>
      <c r="F156" s="5"/>
      <c r="G156" s="5"/>
      <c r="H156" s="5"/>
      <c r="I156" s="17"/>
      <c r="J156" s="17"/>
      <c r="K156" s="17"/>
      <c r="L156" s="17"/>
      <c r="M156" s="95"/>
      <c r="N156" s="17"/>
      <c r="O156" s="17"/>
      <c r="P156" s="17"/>
      <c r="Q156" s="17"/>
      <c r="R156" s="17"/>
    </row>
    <row r="157" spans="1:18" ht="12">
      <c r="A157" s="5"/>
      <c r="B157" s="9"/>
      <c r="C157" s="5"/>
      <c r="D157" s="5"/>
      <c r="E157" s="5"/>
      <c r="F157" s="5"/>
      <c r="G157" s="5"/>
      <c r="H157" s="5"/>
      <c r="I157" s="17"/>
      <c r="J157" s="17"/>
      <c r="K157" s="17"/>
      <c r="L157" s="17"/>
      <c r="M157" s="95"/>
      <c r="N157" s="17"/>
      <c r="O157" s="17"/>
      <c r="P157" s="17"/>
      <c r="Q157" s="17"/>
      <c r="R157" s="17"/>
    </row>
    <row r="158" spans="1:18" ht="12">
      <c r="A158" s="5"/>
      <c r="B158" s="9"/>
      <c r="C158" s="5"/>
      <c r="D158" s="5"/>
      <c r="E158" s="5"/>
      <c r="F158" s="5"/>
      <c r="G158" s="5"/>
      <c r="H158" s="5"/>
      <c r="I158" s="17"/>
      <c r="J158" s="17"/>
      <c r="K158" s="17"/>
      <c r="L158" s="17"/>
      <c r="M158" s="95"/>
      <c r="N158" s="17"/>
      <c r="O158" s="17"/>
      <c r="P158" s="17"/>
      <c r="Q158" s="17"/>
      <c r="R158" s="17"/>
    </row>
    <row r="159" spans="1:18" ht="12">
      <c r="A159" s="5"/>
      <c r="B159" s="9"/>
      <c r="C159" s="5"/>
      <c r="D159" s="5"/>
      <c r="E159" s="5"/>
      <c r="F159" s="5"/>
      <c r="G159" s="5"/>
      <c r="H159" s="5"/>
      <c r="I159" s="17"/>
      <c r="J159" s="17"/>
      <c r="K159" s="17"/>
      <c r="L159" s="17"/>
      <c r="M159" s="95"/>
      <c r="N159" s="17"/>
      <c r="O159" s="17"/>
      <c r="P159" s="17"/>
      <c r="Q159" s="17"/>
      <c r="R159" s="17"/>
    </row>
    <row r="160" spans="1:18" ht="12">
      <c r="A160" s="5"/>
      <c r="B160" s="9"/>
      <c r="C160" s="5"/>
      <c r="D160" s="5"/>
      <c r="E160" s="5"/>
      <c r="F160" s="5"/>
      <c r="G160" s="5"/>
      <c r="H160" s="5"/>
      <c r="I160" s="17"/>
      <c r="J160" s="17"/>
      <c r="K160" s="17"/>
      <c r="L160" s="17"/>
      <c r="M160" s="95"/>
      <c r="N160" s="17"/>
      <c r="O160" s="17"/>
      <c r="P160" s="17"/>
      <c r="Q160" s="17"/>
      <c r="R160" s="17"/>
    </row>
    <row r="161" spans="1:18" ht="12">
      <c r="A161" s="5"/>
      <c r="B161" s="9"/>
      <c r="C161" s="5"/>
      <c r="D161" s="5"/>
      <c r="E161" s="5"/>
      <c r="F161" s="5"/>
      <c r="G161" s="5"/>
      <c r="H161" s="5"/>
      <c r="I161" s="17"/>
      <c r="J161" s="17"/>
      <c r="K161" s="17"/>
      <c r="L161" s="17"/>
      <c r="M161" s="95"/>
      <c r="N161" s="17"/>
      <c r="O161" s="17"/>
      <c r="P161" s="17"/>
      <c r="Q161" s="17"/>
      <c r="R161" s="17"/>
    </row>
    <row r="162" spans="1:18" ht="12">
      <c r="A162" s="5"/>
      <c r="B162" s="9"/>
      <c r="C162" s="5"/>
      <c r="D162" s="5"/>
      <c r="E162" s="5"/>
      <c r="F162" s="5"/>
      <c r="G162" s="5"/>
      <c r="H162" s="5"/>
      <c r="I162" s="17"/>
      <c r="J162" s="17"/>
      <c r="K162" s="17"/>
      <c r="L162" s="17"/>
      <c r="M162" s="95"/>
      <c r="N162" s="17"/>
      <c r="O162" s="17"/>
      <c r="P162" s="17"/>
      <c r="Q162" s="17"/>
      <c r="R162" s="17"/>
    </row>
    <row r="163" spans="1:18" ht="12">
      <c r="A163" s="5"/>
      <c r="B163" s="9"/>
      <c r="C163" s="5"/>
      <c r="D163" s="5"/>
      <c r="E163" s="5"/>
      <c r="F163" s="5"/>
      <c r="G163" s="5"/>
      <c r="H163" s="5"/>
      <c r="I163" s="17"/>
      <c r="J163" s="17"/>
      <c r="K163" s="17"/>
      <c r="L163" s="17"/>
      <c r="M163" s="95"/>
      <c r="N163" s="17"/>
      <c r="O163" s="17"/>
      <c r="P163" s="17"/>
      <c r="Q163" s="17"/>
      <c r="R163" s="17"/>
    </row>
    <row r="164" spans="1:18" ht="12">
      <c r="A164" s="5"/>
      <c r="B164" s="9"/>
      <c r="C164" s="5"/>
      <c r="D164" s="5"/>
      <c r="E164" s="5"/>
      <c r="F164" s="5"/>
      <c r="G164" s="5"/>
      <c r="H164" s="5"/>
      <c r="I164" s="17"/>
      <c r="J164" s="17"/>
      <c r="K164" s="17"/>
      <c r="L164" s="17"/>
      <c r="M164" s="95"/>
      <c r="N164" s="17"/>
      <c r="O164" s="17"/>
      <c r="P164" s="17"/>
      <c r="Q164" s="17"/>
      <c r="R164" s="17"/>
    </row>
    <row r="165" spans="1:18" ht="12">
      <c r="A165" s="5"/>
      <c r="B165" s="9"/>
      <c r="C165" s="5"/>
      <c r="D165" s="5"/>
      <c r="E165" s="5"/>
      <c r="F165" s="5"/>
      <c r="G165" s="5"/>
      <c r="H165" s="5"/>
      <c r="I165" s="17"/>
      <c r="J165" s="17"/>
      <c r="K165" s="17"/>
      <c r="L165" s="17"/>
      <c r="M165" s="95"/>
      <c r="N165" s="17"/>
      <c r="O165" s="17"/>
      <c r="P165" s="17"/>
      <c r="Q165" s="17"/>
      <c r="R165" s="17"/>
    </row>
    <row r="166" spans="1:18" ht="12">
      <c r="A166" s="5"/>
      <c r="B166" s="9"/>
      <c r="C166" s="5"/>
      <c r="D166" s="5"/>
      <c r="E166" s="5"/>
      <c r="F166" s="5"/>
      <c r="G166" s="5"/>
      <c r="H166" s="5"/>
      <c r="I166" s="17"/>
      <c r="J166" s="17"/>
      <c r="K166" s="17"/>
      <c r="L166" s="17"/>
      <c r="M166" s="95"/>
      <c r="N166" s="17"/>
      <c r="O166" s="17"/>
      <c r="P166" s="17"/>
      <c r="Q166" s="17"/>
      <c r="R166" s="17"/>
    </row>
    <row r="167" spans="1:18" ht="12">
      <c r="A167" s="5"/>
      <c r="B167" s="9"/>
      <c r="C167" s="5"/>
      <c r="D167" s="5"/>
      <c r="E167" s="5"/>
      <c r="F167" s="5"/>
      <c r="G167" s="5"/>
      <c r="H167" s="5"/>
      <c r="I167" s="17"/>
      <c r="J167" s="17"/>
      <c r="K167" s="17"/>
      <c r="L167" s="17"/>
      <c r="M167" s="95"/>
      <c r="N167" s="17"/>
      <c r="O167" s="17"/>
      <c r="P167" s="17"/>
      <c r="Q167" s="17"/>
      <c r="R167" s="17"/>
    </row>
    <row r="168" spans="1:18" ht="12">
      <c r="A168" s="5"/>
      <c r="B168" s="9"/>
      <c r="C168" s="5"/>
      <c r="D168" s="5"/>
      <c r="E168" s="5"/>
      <c r="F168" s="5"/>
      <c r="G168" s="5"/>
      <c r="H168" s="5"/>
      <c r="I168" s="17"/>
      <c r="J168" s="17"/>
      <c r="K168" s="17"/>
      <c r="L168" s="17"/>
      <c r="M168" s="95"/>
      <c r="N168" s="17"/>
      <c r="O168" s="17"/>
      <c r="P168" s="17"/>
      <c r="Q168" s="17"/>
      <c r="R168" s="17"/>
    </row>
    <row r="169" spans="1:18" ht="12">
      <c r="A169" s="5"/>
      <c r="B169" s="9"/>
      <c r="C169" s="5"/>
      <c r="D169" s="5"/>
      <c r="E169" s="5"/>
      <c r="F169" s="5"/>
      <c r="G169" s="5"/>
      <c r="H169" s="5"/>
      <c r="I169" s="17"/>
      <c r="J169" s="17"/>
      <c r="K169" s="17"/>
      <c r="L169" s="17"/>
      <c r="M169" s="95"/>
      <c r="N169" s="17"/>
      <c r="O169" s="17"/>
      <c r="P169" s="17"/>
      <c r="Q169" s="17"/>
      <c r="R169" s="17"/>
    </row>
    <row r="170" spans="1:18" ht="12">
      <c r="A170" s="5"/>
      <c r="B170" s="9"/>
      <c r="C170" s="5"/>
      <c r="D170" s="5"/>
      <c r="E170" s="5"/>
      <c r="F170" s="5"/>
      <c r="G170" s="5"/>
      <c r="H170" s="5"/>
      <c r="I170" s="17"/>
      <c r="J170" s="17"/>
      <c r="K170" s="17"/>
      <c r="L170" s="17"/>
      <c r="M170" s="95"/>
      <c r="N170" s="17"/>
      <c r="O170" s="17"/>
      <c r="P170" s="17"/>
      <c r="Q170" s="17"/>
      <c r="R170" s="17"/>
    </row>
    <row r="171" spans="1:18" ht="12">
      <c r="A171" s="5"/>
      <c r="B171" s="9"/>
      <c r="C171" s="5"/>
      <c r="D171" s="5"/>
      <c r="E171" s="5"/>
      <c r="F171" s="5"/>
      <c r="G171" s="5"/>
      <c r="H171" s="5"/>
      <c r="I171" s="17"/>
      <c r="J171" s="17"/>
      <c r="K171" s="17"/>
      <c r="L171" s="17"/>
      <c r="M171" s="95"/>
      <c r="N171" s="17"/>
      <c r="O171" s="17"/>
      <c r="P171" s="17"/>
      <c r="Q171" s="17"/>
      <c r="R171" s="17"/>
    </row>
    <row r="172" spans="1:18" ht="12">
      <c r="A172" s="5"/>
      <c r="B172" s="9"/>
      <c r="C172" s="5"/>
      <c r="D172" s="5"/>
      <c r="E172" s="5"/>
      <c r="F172" s="5"/>
      <c r="G172" s="5"/>
      <c r="H172" s="5"/>
      <c r="I172" s="17"/>
      <c r="J172" s="17"/>
      <c r="K172" s="17"/>
      <c r="L172" s="17"/>
      <c r="M172" s="95"/>
      <c r="N172" s="17"/>
      <c r="O172" s="17"/>
      <c r="P172" s="17"/>
      <c r="Q172" s="17"/>
      <c r="R172" s="17"/>
    </row>
    <row r="173" spans="1:18" ht="12">
      <c r="A173" s="5"/>
      <c r="B173" s="9"/>
      <c r="C173" s="5"/>
      <c r="D173" s="5"/>
      <c r="E173" s="5"/>
      <c r="F173" s="5"/>
      <c r="G173" s="5"/>
      <c r="H173" s="5"/>
      <c r="I173" s="17"/>
      <c r="J173" s="17"/>
      <c r="K173" s="17"/>
      <c r="L173" s="17"/>
      <c r="M173" s="95"/>
      <c r="N173" s="17"/>
      <c r="O173" s="17"/>
      <c r="P173" s="17"/>
      <c r="Q173" s="17"/>
      <c r="R173" s="17"/>
    </row>
    <row r="174" spans="1:18" ht="12">
      <c r="A174" s="5"/>
      <c r="B174" s="9"/>
      <c r="C174" s="5"/>
      <c r="D174" s="5"/>
      <c r="E174" s="5"/>
      <c r="F174" s="5"/>
      <c r="G174" s="5"/>
      <c r="H174" s="5"/>
      <c r="I174" s="17"/>
      <c r="J174" s="17"/>
      <c r="K174" s="17"/>
      <c r="L174" s="17"/>
      <c r="M174" s="95"/>
      <c r="N174" s="17"/>
      <c r="O174" s="17"/>
      <c r="P174" s="17"/>
      <c r="Q174" s="17"/>
      <c r="R174" s="17"/>
    </row>
    <row r="175" spans="1:18" ht="12">
      <c r="A175" s="5"/>
      <c r="B175" s="9"/>
      <c r="C175" s="5"/>
      <c r="D175" s="5"/>
      <c r="E175" s="5"/>
      <c r="F175" s="5"/>
      <c r="G175" s="5"/>
      <c r="H175" s="5"/>
      <c r="I175" s="17"/>
      <c r="J175" s="17"/>
      <c r="K175" s="17"/>
      <c r="L175" s="17"/>
      <c r="M175" s="95"/>
      <c r="N175" s="17"/>
      <c r="O175" s="17"/>
      <c r="P175" s="17"/>
      <c r="Q175" s="17"/>
      <c r="R175" s="17"/>
    </row>
    <row r="176" spans="1:18" ht="12">
      <c r="A176" s="5"/>
      <c r="B176" s="9"/>
      <c r="C176" s="5"/>
      <c r="D176" s="5"/>
      <c r="E176" s="5"/>
      <c r="F176" s="5"/>
      <c r="G176" s="5"/>
      <c r="H176" s="5"/>
      <c r="I176" s="17"/>
      <c r="J176" s="17"/>
      <c r="K176" s="17"/>
      <c r="L176" s="17"/>
      <c r="M176" s="95"/>
      <c r="N176" s="17"/>
      <c r="O176" s="17"/>
      <c r="P176" s="17"/>
      <c r="Q176" s="17"/>
      <c r="R176" s="17"/>
    </row>
    <row r="177" spans="1:18" ht="12">
      <c r="A177" s="5"/>
      <c r="B177" s="9"/>
      <c r="C177" s="5"/>
      <c r="D177" s="5"/>
      <c r="E177" s="5"/>
      <c r="F177" s="5"/>
      <c r="G177" s="5"/>
      <c r="H177" s="5"/>
      <c r="I177" s="17"/>
      <c r="J177" s="17"/>
      <c r="K177" s="17"/>
      <c r="L177" s="17"/>
      <c r="M177" s="95"/>
      <c r="N177" s="17"/>
      <c r="O177" s="17"/>
      <c r="P177" s="17"/>
      <c r="Q177" s="17"/>
      <c r="R177" s="17"/>
    </row>
    <row r="178" spans="1:18" ht="12">
      <c r="A178" s="5"/>
      <c r="B178" s="9"/>
      <c r="C178" s="5"/>
      <c r="D178" s="5"/>
      <c r="E178" s="5"/>
      <c r="F178" s="5"/>
      <c r="G178" s="5"/>
      <c r="H178" s="5"/>
      <c r="I178" s="17"/>
      <c r="J178" s="17"/>
      <c r="K178" s="17"/>
      <c r="L178" s="17"/>
      <c r="M178" s="95"/>
      <c r="N178" s="17"/>
      <c r="O178" s="17"/>
      <c r="P178" s="17"/>
      <c r="Q178" s="17"/>
      <c r="R178" s="17"/>
    </row>
    <row r="179" spans="1:18" ht="12">
      <c r="A179" s="5"/>
      <c r="B179" s="9"/>
      <c r="C179" s="5"/>
      <c r="D179" s="5"/>
      <c r="E179" s="5"/>
      <c r="F179" s="5"/>
      <c r="G179" s="5"/>
      <c r="H179" s="5"/>
      <c r="I179" s="17"/>
      <c r="J179" s="17"/>
      <c r="K179" s="17"/>
      <c r="L179" s="17"/>
      <c r="M179" s="95"/>
      <c r="N179" s="17"/>
      <c r="O179" s="17"/>
      <c r="P179" s="17"/>
      <c r="Q179" s="17"/>
      <c r="R179" s="17"/>
    </row>
    <row r="180" spans="1:18" ht="12">
      <c r="A180" s="5"/>
      <c r="B180" s="9"/>
      <c r="C180" s="5"/>
      <c r="D180" s="5"/>
      <c r="E180" s="5"/>
      <c r="F180" s="5"/>
      <c r="G180" s="5"/>
      <c r="H180" s="5"/>
      <c r="I180" s="17"/>
      <c r="J180" s="17"/>
      <c r="K180" s="17"/>
      <c r="L180" s="17"/>
      <c r="M180" s="95"/>
      <c r="N180" s="17"/>
      <c r="O180" s="17"/>
      <c r="P180" s="17"/>
      <c r="Q180" s="17"/>
      <c r="R180" s="17"/>
    </row>
    <row r="181" spans="1:18" ht="12">
      <c r="A181" s="5"/>
      <c r="B181" s="9"/>
      <c r="C181" s="5"/>
      <c r="D181" s="5"/>
      <c r="E181" s="5"/>
      <c r="F181" s="5"/>
      <c r="G181" s="5"/>
      <c r="H181" s="5"/>
      <c r="I181" s="17"/>
      <c r="J181" s="17"/>
      <c r="K181" s="17"/>
      <c r="L181" s="17"/>
      <c r="M181" s="95"/>
      <c r="N181" s="17"/>
      <c r="O181" s="17"/>
      <c r="P181" s="17"/>
      <c r="Q181" s="17"/>
      <c r="R181" s="17"/>
    </row>
    <row r="182" spans="1:18" ht="12">
      <c r="A182" s="5"/>
      <c r="B182" s="9"/>
      <c r="C182" s="5"/>
      <c r="D182" s="5"/>
      <c r="E182" s="5"/>
      <c r="F182" s="5"/>
      <c r="G182" s="5"/>
      <c r="H182" s="5"/>
      <c r="I182" s="17"/>
      <c r="J182" s="17"/>
      <c r="K182" s="17"/>
      <c r="L182" s="17"/>
      <c r="M182" s="95"/>
      <c r="N182" s="17"/>
      <c r="O182" s="17"/>
      <c r="P182" s="17"/>
      <c r="Q182" s="17"/>
      <c r="R182" s="17"/>
    </row>
    <row r="183" spans="1:18" ht="12">
      <c r="A183" s="5"/>
      <c r="B183" s="9"/>
      <c r="C183" s="5"/>
      <c r="D183" s="5"/>
      <c r="E183" s="5"/>
      <c r="F183" s="5"/>
      <c r="G183" s="5"/>
      <c r="H183" s="5"/>
      <c r="I183" s="17"/>
      <c r="J183" s="17"/>
      <c r="K183" s="17"/>
      <c r="L183" s="17"/>
      <c r="M183" s="95"/>
      <c r="N183" s="17"/>
      <c r="O183" s="17"/>
      <c r="P183" s="17"/>
      <c r="Q183" s="17"/>
      <c r="R183" s="17"/>
    </row>
    <row r="184" spans="1:18" ht="12">
      <c r="A184" s="5"/>
      <c r="B184" s="9"/>
      <c r="C184" s="5"/>
      <c r="D184" s="5"/>
      <c r="E184" s="5"/>
      <c r="F184" s="5"/>
      <c r="G184" s="5"/>
      <c r="H184" s="5"/>
      <c r="I184" s="17"/>
      <c r="J184" s="17"/>
      <c r="K184" s="17"/>
      <c r="L184" s="17"/>
      <c r="M184" s="95"/>
      <c r="N184" s="17"/>
      <c r="O184" s="17"/>
      <c r="P184" s="17"/>
      <c r="Q184" s="17"/>
      <c r="R184" s="17"/>
    </row>
    <row r="185" spans="1:18" ht="12">
      <c r="A185" s="5"/>
      <c r="B185" s="9"/>
      <c r="C185" s="5"/>
      <c r="D185" s="5"/>
      <c r="E185" s="5"/>
      <c r="F185" s="5"/>
      <c r="G185" s="5"/>
      <c r="H185" s="5"/>
      <c r="I185" s="17"/>
      <c r="J185" s="17"/>
      <c r="K185" s="17"/>
      <c r="L185" s="17"/>
      <c r="M185" s="95"/>
      <c r="N185" s="17"/>
      <c r="O185" s="17"/>
      <c r="P185" s="17"/>
      <c r="Q185" s="17"/>
      <c r="R185" s="17"/>
    </row>
    <row r="186" spans="1:18" ht="12">
      <c r="A186" s="5"/>
      <c r="B186" s="9"/>
      <c r="C186" s="5"/>
      <c r="D186" s="5"/>
      <c r="E186" s="5"/>
      <c r="F186" s="5"/>
      <c r="G186" s="5"/>
      <c r="H186" s="5"/>
      <c r="I186" s="17"/>
      <c r="J186" s="17"/>
      <c r="K186" s="17"/>
      <c r="L186" s="17"/>
      <c r="M186" s="95"/>
      <c r="N186" s="17"/>
      <c r="O186" s="17"/>
      <c r="P186" s="17"/>
      <c r="Q186" s="17"/>
      <c r="R186" s="17"/>
    </row>
    <row r="187" spans="1:18" ht="12">
      <c r="A187" s="5"/>
      <c r="B187" s="9"/>
      <c r="C187" s="5"/>
      <c r="D187" s="5"/>
      <c r="E187" s="5"/>
      <c r="F187" s="5"/>
      <c r="G187" s="5"/>
      <c r="H187" s="5"/>
      <c r="I187" s="17"/>
      <c r="J187" s="17"/>
      <c r="K187" s="17"/>
      <c r="L187" s="17"/>
      <c r="M187" s="95"/>
      <c r="N187" s="17"/>
      <c r="O187" s="17"/>
      <c r="P187" s="17"/>
      <c r="Q187" s="17"/>
      <c r="R187" s="17"/>
    </row>
    <row r="188" spans="1:18" ht="12">
      <c r="A188" s="5"/>
      <c r="B188" s="9"/>
      <c r="C188" s="5"/>
      <c r="D188" s="5"/>
      <c r="E188" s="5"/>
      <c r="F188" s="5"/>
      <c r="G188" s="5"/>
      <c r="H188" s="5"/>
      <c r="I188" s="17"/>
      <c r="J188" s="17"/>
      <c r="K188" s="17"/>
      <c r="L188" s="17"/>
      <c r="M188" s="95"/>
      <c r="N188" s="17"/>
      <c r="O188" s="17"/>
      <c r="P188" s="17"/>
      <c r="Q188" s="17"/>
      <c r="R188" s="17"/>
    </row>
    <row r="189" spans="1:18" ht="12">
      <c r="A189" s="5"/>
      <c r="B189" s="9"/>
      <c r="C189" s="5"/>
      <c r="D189" s="5"/>
      <c r="E189" s="5"/>
      <c r="F189" s="5"/>
      <c r="G189" s="5"/>
      <c r="H189" s="5"/>
      <c r="I189" s="17"/>
      <c r="J189" s="17"/>
      <c r="K189" s="17"/>
      <c r="L189" s="17"/>
      <c r="M189" s="95"/>
      <c r="N189" s="17"/>
      <c r="O189" s="17"/>
      <c r="P189" s="17"/>
      <c r="Q189" s="17"/>
      <c r="R189" s="17"/>
    </row>
    <row r="190" spans="1:18" ht="12">
      <c r="A190" s="5"/>
      <c r="B190" s="9"/>
      <c r="C190" s="5"/>
      <c r="D190" s="5"/>
      <c r="E190" s="5"/>
      <c r="F190" s="5"/>
      <c r="G190" s="5"/>
      <c r="H190" s="5"/>
      <c r="I190" s="17"/>
      <c r="J190" s="17"/>
      <c r="K190" s="17"/>
      <c r="L190" s="17"/>
      <c r="M190" s="95"/>
      <c r="N190" s="17"/>
      <c r="O190" s="17"/>
      <c r="P190" s="17"/>
      <c r="Q190" s="17"/>
      <c r="R190" s="17"/>
    </row>
    <row r="191" spans="1:18" ht="12">
      <c r="A191" s="5"/>
      <c r="B191" s="9"/>
      <c r="C191" s="5"/>
      <c r="D191" s="5"/>
      <c r="E191" s="5"/>
      <c r="F191" s="5"/>
      <c r="G191" s="5"/>
      <c r="H191" s="5"/>
      <c r="I191" s="17"/>
      <c r="J191" s="17"/>
      <c r="K191" s="17"/>
      <c r="L191" s="17"/>
      <c r="M191" s="95"/>
      <c r="N191" s="17"/>
      <c r="O191" s="17"/>
      <c r="P191" s="17"/>
      <c r="Q191" s="17"/>
      <c r="R191" s="17"/>
    </row>
    <row r="192" spans="1:18" ht="12">
      <c r="A192" s="5"/>
      <c r="B192" s="9"/>
      <c r="C192" s="5"/>
      <c r="D192" s="5"/>
      <c r="E192" s="5"/>
      <c r="F192" s="5"/>
      <c r="G192" s="5"/>
      <c r="H192" s="5"/>
      <c r="I192" s="17"/>
      <c r="J192" s="17"/>
      <c r="K192" s="17"/>
      <c r="L192" s="17"/>
      <c r="M192" s="95"/>
      <c r="N192" s="17"/>
      <c r="O192" s="17"/>
      <c r="P192" s="17"/>
      <c r="Q192" s="17"/>
      <c r="R192" s="17"/>
    </row>
    <row r="193" spans="1:18" ht="12">
      <c r="A193" s="5"/>
      <c r="B193" s="9"/>
      <c r="C193" s="5"/>
      <c r="D193" s="5"/>
      <c r="E193" s="5"/>
      <c r="F193" s="5"/>
      <c r="G193" s="5"/>
      <c r="H193" s="5"/>
      <c r="I193" s="17"/>
      <c r="J193" s="17"/>
      <c r="K193" s="17"/>
      <c r="L193" s="17"/>
      <c r="M193" s="95"/>
      <c r="N193" s="17"/>
      <c r="O193" s="17"/>
      <c r="P193" s="17"/>
      <c r="Q193" s="17"/>
      <c r="R193" s="17"/>
    </row>
    <row r="194" spans="1:18" ht="12">
      <c r="A194" s="5"/>
      <c r="B194" s="9"/>
      <c r="C194" s="5"/>
      <c r="D194" s="5"/>
      <c r="E194" s="5"/>
      <c r="F194" s="5"/>
      <c r="G194" s="5"/>
      <c r="H194" s="5"/>
      <c r="I194" s="17"/>
      <c r="J194" s="17"/>
      <c r="K194" s="17"/>
      <c r="L194" s="17"/>
      <c r="M194" s="95"/>
      <c r="N194" s="17"/>
      <c r="O194" s="17"/>
      <c r="P194" s="17"/>
      <c r="Q194" s="17"/>
      <c r="R194" s="17"/>
    </row>
    <row r="195" spans="1:18" ht="12">
      <c r="A195" s="5"/>
      <c r="B195" s="9"/>
      <c r="C195" s="5"/>
      <c r="D195" s="5"/>
      <c r="E195" s="5"/>
      <c r="F195" s="5"/>
      <c r="G195" s="5"/>
      <c r="H195" s="5"/>
      <c r="I195" s="17"/>
      <c r="J195" s="17"/>
      <c r="K195" s="17"/>
      <c r="L195" s="17"/>
      <c r="M195" s="95"/>
      <c r="N195" s="17"/>
      <c r="O195" s="17"/>
      <c r="P195" s="17"/>
      <c r="Q195" s="17"/>
      <c r="R195" s="17"/>
    </row>
    <row r="196" spans="1:18" ht="12">
      <c r="A196" s="5"/>
      <c r="B196" s="9"/>
      <c r="C196" s="5"/>
      <c r="D196" s="5"/>
      <c r="E196" s="5"/>
      <c r="F196" s="5"/>
      <c r="G196" s="5"/>
      <c r="H196" s="5"/>
      <c r="I196" s="17"/>
      <c r="J196" s="17"/>
      <c r="K196" s="17"/>
      <c r="L196" s="17"/>
      <c r="M196" s="95"/>
      <c r="N196" s="17"/>
      <c r="O196" s="17"/>
      <c r="P196" s="17"/>
      <c r="Q196" s="17"/>
      <c r="R196" s="17"/>
    </row>
    <row r="197" spans="1:18" ht="12">
      <c r="A197" s="5"/>
      <c r="B197" s="9"/>
      <c r="C197" s="5"/>
      <c r="D197" s="5"/>
      <c r="E197" s="5"/>
      <c r="F197" s="5"/>
      <c r="G197" s="5"/>
      <c r="H197" s="5"/>
      <c r="I197" s="17"/>
      <c r="J197" s="17"/>
      <c r="K197" s="17"/>
      <c r="L197" s="17"/>
      <c r="M197" s="95"/>
      <c r="N197" s="17"/>
      <c r="O197" s="17"/>
      <c r="P197" s="17"/>
      <c r="Q197" s="17"/>
      <c r="R197" s="17"/>
    </row>
    <row r="198" spans="1:18" ht="12">
      <c r="A198" s="5"/>
      <c r="B198" s="9"/>
      <c r="C198" s="5"/>
      <c r="D198" s="5"/>
      <c r="E198" s="5"/>
      <c r="F198" s="5"/>
      <c r="G198" s="5"/>
      <c r="H198" s="5"/>
      <c r="I198" s="17"/>
      <c r="J198" s="17"/>
      <c r="K198" s="17"/>
      <c r="L198" s="17"/>
      <c r="M198" s="95"/>
      <c r="N198" s="17"/>
      <c r="O198" s="17"/>
      <c r="P198" s="17"/>
      <c r="Q198" s="17"/>
      <c r="R198" s="17"/>
    </row>
    <row r="199" spans="1:18" ht="12">
      <c r="A199" s="5"/>
      <c r="B199" s="9"/>
      <c r="C199" s="5"/>
      <c r="D199" s="5"/>
      <c r="E199" s="5"/>
      <c r="F199" s="5"/>
      <c r="G199" s="5"/>
      <c r="H199" s="5"/>
      <c r="I199" s="17"/>
      <c r="J199" s="17"/>
      <c r="K199" s="17"/>
      <c r="L199" s="17"/>
      <c r="M199" s="95"/>
      <c r="N199" s="17"/>
      <c r="O199" s="17"/>
      <c r="P199" s="17"/>
      <c r="Q199" s="17"/>
      <c r="R199" s="17"/>
    </row>
    <row r="200" spans="1:18" ht="12">
      <c r="A200" s="5"/>
      <c r="B200" s="9"/>
      <c r="C200" s="5"/>
      <c r="D200" s="5"/>
      <c r="E200" s="5"/>
      <c r="F200" s="5"/>
      <c r="G200" s="5"/>
      <c r="H200" s="5"/>
      <c r="I200" s="17"/>
      <c r="J200" s="17"/>
      <c r="K200" s="17"/>
      <c r="L200" s="17"/>
      <c r="M200" s="95"/>
      <c r="N200" s="17"/>
      <c r="O200" s="17"/>
      <c r="P200" s="17"/>
      <c r="Q200" s="17"/>
      <c r="R200" s="17"/>
    </row>
    <row r="201" spans="1:18" ht="12">
      <c r="A201" s="5"/>
      <c r="B201" s="9"/>
      <c r="C201" s="5"/>
      <c r="D201" s="5"/>
      <c r="E201" s="5"/>
      <c r="F201" s="5"/>
      <c r="G201" s="5"/>
      <c r="H201" s="5"/>
      <c r="I201" s="17"/>
      <c r="J201" s="17"/>
      <c r="K201" s="17"/>
      <c r="L201" s="17"/>
      <c r="M201" s="95"/>
      <c r="N201" s="17"/>
      <c r="O201" s="17"/>
      <c r="P201" s="17"/>
      <c r="Q201" s="17"/>
      <c r="R201" s="17"/>
    </row>
    <row r="202" spans="1:18" ht="12">
      <c r="A202" s="5"/>
      <c r="B202" s="9"/>
      <c r="C202" s="5"/>
      <c r="D202" s="5"/>
      <c r="E202" s="5"/>
      <c r="F202" s="5"/>
      <c r="G202" s="5"/>
      <c r="H202" s="5"/>
      <c r="I202" s="17"/>
      <c r="J202" s="17"/>
      <c r="K202" s="17"/>
      <c r="L202" s="17"/>
      <c r="M202" s="95"/>
      <c r="N202" s="17"/>
      <c r="O202" s="17"/>
      <c r="P202" s="17"/>
      <c r="Q202" s="17"/>
      <c r="R202" s="17"/>
    </row>
    <row r="203" spans="1:18" ht="12">
      <c r="A203" s="5"/>
      <c r="B203" s="9"/>
      <c r="C203" s="5"/>
      <c r="D203" s="5"/>
      <c r="E203" s="5"/>
      <c r="F203" s="5"/>
      <c r="G203" s="5"/>
      <c r="H203" s="5"/>
      <c r="I203" s="17"/>
      <c r="J203" s="17"/>
      <c r="K203" s="17"/>
      <c r="L203" s="17"/>
      <c r="M203" s="95"/>
      <c r="N203" s="17"/>
      <c r="O203" s="17"/>
      <c r="P203" s="17"/>
      <c r="Q203" s="17"/>
      <c r="R203" s="17"/>
    </row>
    <row r="204" spans="1:18" ht="12">
      <c r="A204" s="5"/>
      <c r="B204" s="9"/>
      <c r="C204" s="5"/>
      <c r="D204" s="5"/>
      <c r="E204" s="5"/>
      <c r="F204" s="5"/>
      <c r="G204" s="5"/>
      <c r="H204" s="5"/>
      <c r="I204" s="17"/>
      <c r="J204" s="17"/>
      <c r="K204" s="17"/>
      <c r="L204" s="17"/>
      <c r="M204" s="95"/>
      <c r="N204" s="17"/>
      <c r="O204" s="17"/>
      <c r="P204" s="17"/>
      <c r="Q204" s="17"/>
      <c r="R204" s="17"/>
    </row>
    <row r="205" spans="1:18" ht="12">
      <c r="A205" s="5"/>
      <c r="B205" s="9"/>
      <c r="C205" s="5"/>
      <c r="D205" s="5"/>
      <c r="E205" s="5"/>
      <c r="F205" s="5"/>
      <c r="G205" s="5"/>
      <c r="H205" s="5"/>
      <c r="I205" s="17"/>
      <c r="J205" s="17"/>
      <c r="K205" s="17"/>
      <c r="L205" s="17"/>
      <c r="M205" s="95"/>
      <c r="N205" s="17"/>
      <c r="O205" s="17"/>
      <c r="P205" s="17"/>
      <c r="Q205" s="17"/>
      <c r="R205" s="17"/>
    </row>
    <row r="206" spans="1:18" ht="12">
      <c r="A206" s="5"/>
      <c r="B206" s="9"/>
      <c r="C206" s="5"/>
      <c r="D206" s="5"/>
      <c r="E206" s="5"/>
      <c r="F206" s="5"/>
      <c r="G206" s="5"/>
      <c r="H206" s="5"/>
      <c r="I206" s="17"/>
      <c r="J206" s="17"/>
      <c r="K206" s="17"/>
      <c r="L206" s="17"/>
      <c r="M206" s="95"/>
      <c r="N206" s="17"/>
      <c r="O206" s="17"/>
      <c r="P206" s="17"/>
      <c r="Q206" s="17"/>
      <c r="R206" s="17"/>
    </row>
    <row r="207" spans="1:18" ht="12">
      <c r="A207" s="5"/>
      <c r="B207" s="9"/>
      <c r="C207" s="5"/>
      <c r="D207" s="5"/>
      <c r="E207" s="5"/>
      <c r="F207" s="5"/>
      <c r="G207" s="5"/>
      <c r="H207" s="5"/>
      <c r="I207" s="17"/>
      <c r="J207" s="17"/>
      <c r="K207" s="17"/>
      <c r="L207" s="17"/>
      <c r="M207" s="95"/>
      <c r="N207" s="17"/>
      <c r="O207" s="17"/>
      <c r="P207" s="17"/>
      <c r="Q207" s="17"/>
      <c r="R207" s="17"/>
    </row>
    <row r="208" spans="1:18" ht="12">
      <c r="A208" s="5"/>
      <c r="B208" s="9"/>
      <c r="C208" s="5"/>
      <c r="D208" s="5"/>
      <c r="E208" s="5"/>
      <c r="F208" s="5"/>
      <c r="G208" s="5"/>
      <c r="H208" s="5"/>
      <c r="I208" s="17"/>
      <c r="J208" s="17"/>
      <c r="K208" s="17"/>
      <c r="L208" s="17"/>
      <c r="M208" s="95"/>
      <c r="N208" s="17"/>
      <c r="O208" s="17"/>
      <c r="P208" s="17"/>
      <c r="Q208" s="17"/>
      <c r="R208" s="17"/>
    </row>
    <row r="209" spans="1:18" ht="12">
      <c r="A209" s="5"/>
      <c r="B209" s="9"/>
      <c r="C209" s="5"/>
      <c r="D209" s="5"/>
      <c r="E209" s="5"/>
      <c r="F209" s="5"/>
      <c r="G209" s="5"/>
      <c r="H209" s="5"/>
      <c r="I209" s="17"/>
      <c r="J209" s="17"/>
      <c r="K209" s="17"/>
      <c r="L209" s="17"/>
      <c r="M209" s="95"/>
      <c r="N209" s="17"/>
      <c r="O209" s="17"/>
      <c r="P209" s="17"/>
      <c r="Q209" s="17"/>
      <c r="R209" s="17"/>
    </row>
    <row r="210" spans="1:18" ht="12">
      <c r="A210" s="5"/>
      <c r="B210" s="9"/>
      <c r="C210" s="5"/>
      <c r="D210" s="5"/>
      <c r="E210" s="5"/>
      <c r="F210" s="5"/>
      <c r="G210" s="5"/>
      <c r="H210" s="5"/>
      <c r="I210" s="17"/>
      <c r="J210" s="17"/>
      <c r="K210" s="17"/>
      <c r="L210" s="17"/>
      <c r="M210" s="95"/>
      <c r="N210" s="17"/>
      <c r="O210" s="17"/>
      <c r="P210" s="17"/>
      <c r="Q210" s="17"/>
      <c r="R210" s="17"/>
    </row>
    <row r="211" spans="1:18" ht="12">
      <c r="A211" s="5"/>
      <c r="B211" s="9"/>
      <c r="C211" s="5"/>
      <c r="D211" s="5"/>
      <c r="E211" s="5"/>
      <c r="F211" s="5"/>
      <c r="G211" s="5"/>
      <c r="H211" s="5"/>
      <c r="I211" s="17"/>
      <c r="J211" s="17"/>
      <c r="K211" s="17"/>
      <c r="L211" s="17"/>
      <c r="M211" s="95"/>
      <c r="N211" s="17"/>
      <c r="O211" s="17"/>
      <c r="P211" s="17"/>
      <c r="Q211" s="17"/>
      <c r="R211" s="17"/>
    </row>
    <row r="212" spans="1:18" ht="12">
      <c r="A212" s="5"/>
      <c r="B212" s="9"/>
      <c r="C212" s="5"/>
      <c r="D212" s="5"/>
      <c r="E212" s="5"/>
      <c r="F212" s="5"/>
      <c r="G212" s="5"/>
      <c r="H212" s="5"/>
      <c r="I212" s="17"/>
      <c r="J212" s="17"/>
      <c r="K212" s="17"/>
      <c r="L212" s="17"/>
      <c r="M212" s="95"/>
      <c r="N212" s="17"/>
      <c r="O212" s="17"/>
      <c r="P212" s="17"/>
      <c r="Q212" s="17"/>
      <c r="R212" s="17"/>
    </row>
    <row r="213" spans="1:18" ht="12">
      <c r="A213" s="5"/>
      <c r="B213" s="9"/>
      <c r="C213" s="5"/>
      <c r="D213" s="5"/>
      <c r="E213" s="5"/>
      <c r="F213" s="5"/>
      <c r="G213" s="5"/>
      <c r="H213" s="5"/>
      <c r="I213" s="17"/>
      <c r="J213" s="17"/>
      <c r="K213" s="17"/>
      <c r="L213" s="17"/>
      <c r="M213" s="95"/>
      <c r="N213" s="17"/>
      <c r="O213" s="17"/>
      <c r="P213" s="17"/>
      <c r="Q213" s="17"/>
      <c r="R213" s="17"/>
    </row>
    <row r="214" spans="1:18" ht="12">
      <c r="A214" s="5"/>
      <c r="B214" s="9"/>
      <c r="C214" s="5"/>
      <c r="D214" s="5"/>
      <c r="E214" s="5"/>
      <c r="F214" s="5"/>
      <c r="G214" s="5"/>
      <c r="H214" s="5"/>
      <c r="I214" s="17"/>
      <c r="J214" s="17"/>
      <c r="K214" s="17"/>
      <c r="L214" s="17"/>
      <c r="M214" s="95"/>
      <c r="N214" s="17"/>
      <c r="O214" s="17"/>
      <c r="P214" s="17"/>
      <c r="Q214" s="17"/>
      <c r="R214" s="17"/>
    </row>
    <row r="215" spans="1:18" ht="12">
      <c r="A215" s="5"/>
      <c r="B215" s="9"/>
      <c r="C215" s="5"/>
      <c r="D215" s="5"/>
      <c r="E215" s="5"/>
      <c r="F215" s="5"/>
      <c r="G215" s="5"/>
      <c r="H215" s="5"/>
      <c r="I215" s="17"/>
      <c r="J215" s="17"/>
      <c r="K215" s="17"/>
      <c r="L215" s="17"/>
      <c r="M215" s="95"/>
      <c r="N215" s="17"/>
      <c r="O215" s="17"/>
      <c r="P215" s="17"/>
      <c r="Q215" s="17"/>
      <c r="R215" s="17"/>
    </row>
    <row r="216" spans="1:18" ht="12">
      <c r="A216" s="5"/>
      <c r="B216" s="9"/>
      <c r="C216" s="5"/>
      <c r="D216" s="5"/>
      <c r="E216" s="5"/>
      <c r="F216" s="5"/>
      <c r="G216" s="5"/>
      <c r="H216" s="5"/>
      <c r="I216" s="17"/>
      <c r="J216" s="17"/>
      <c r="K216" s="17"/>
      <c r="L216" s="17"/>
      <c r="M216" s="95"/>
      <c r="N216" s="17"/>
      <c r="O216" s="17"/>
      <c r="P216" s="17"/>
      <c r="Q216" s="17"/>
      <c r="R216" s="17"/>
    </row>
    <row r="217" spans="1:18" ht="12">
      <c r="A217" s="5"/>
      <c r="B217" s="9"/>
      <c r="C217" s="5"/>
      <c r="D217" s="5"/>
      <c r="E217" s="5"/>
      <c r="F217" s="5"/>
      <c r="G217" s="5"/>
      <c r="H217" s="5"/>
      <c r="I217" s="17"/>
      <c r="J217" s="17"/>
      <c r="K217" s="17"/>
      <c r="L217" s="17"/>
      <c r="M217" s="95"/>
      <c r="N217" s="17"/>
      <c r="O217" s="17"/>
      <c r="P217" s="17"/>
      <c r="Q217" s="17"/>
      <c r="R217" s="17"/>
    </row>
    <row r="218" spans="1:18" ht="12">
      <c r="A218" s="5"/>
      <c r="B218" s="9"/>
      <c r="C218" s="5"/>
      <c r="D218" s="5"/>
      <c r="E218" s="5"/>
      <c r="F218" s="5"/>
      <c r="G218" s="5"/>
      <c r="H218" s="5"/>
      <c r="I218" s="17"/>
      <c r="J218" s="17"/>
      <c r="K218" s="17"/>
      <c r="L218" s="17"/>
      <c r="M218" s="95"/>
      <c r="N218" s="17"/>
      <c r="O218" s="17"/>
      <c r="P218" s="17"/>
      <c r="Q218" s="17"/>
      <c r="R218" s="17"/>
    </row>
    <row r="219" spans="1:18" ht="12">
      <c r="A219" s="5"/>
      <c r="B219" s="9"/>
      <c r="C219" s="5"/>
      <c r="D219" s="5"/>
      <c r="E219" s="5"/>
      <c r="F219" s="5"/>
      <c r="G219" s="5"/>
      <c r="H219" s="5"/>
      <c r="I219" s="17"/>
      <c r="J219" s="17"/>
      <c r="K219" s="17"/>
      <c r="L219" s="17"/>
      <c r="M219" s="95"/>
      <c r="N219" s="17"/>
      <c r="O219" s="17"/>
      <c r="P219" s="17"/>
      <c r="Q219" s="17"/>
      <c r="R219" s="17"/>
    </row>
    <row r="220" spans="1:18" ht="12">
      <c r="A220" s="5"/>
      <c r="B220" s="9"/>
      <c r="C220" s="5"/>
      <c r="D220" s="5"/>
      <c r="E220" s="5"/>
      <c r="F220" s="5"/>
      <c r="G220" s="5"/>
      <c r="H220" s="5"/>
      <c r="I220" s="17"/>
      <c r="J220" s="17"/>
      <c r="K220" s="17"/>
      <c r="L220" s="17"/>
      <c r="M220" s="95"/>
      <c r="N220" s="17"/>
      <c r="O220" s="17"/>
      <c r="P220" s="17"/>
      <c r="Q220" s="17"/>
      <c r="R220" s="17"/>
    </row>
    <row r="221" spans="1:18" ht="12">
      <c r="A221" s="5"/>
      <c r="B221" s="9"/>
      <c r="C221" s="5"/>
      <c r="D221" s="5"/>
      <c r="E221" s="5"/>
      <c r="F221" s="5"/>
      <c r="G221" s="5"/>
      <c r="H221" s="5"/>
      <c r="I221" s="17"/>
      <c r="J221" s="17"/>
      <c r="K221" s="17"/>
      <c r="L221" s="17"/>
      <c r="M221" s="95"/>
      <c r="N221" s="17"/>
      <c r="O221" s="17"/>
      <c r="P221" s="17"/>
      <c r="Q221" s="17"/>
      <c r="R221" s="17"/>
    </row>
    <row r="222" spans="1:18" ht="12">
      <c r="A222" s="5"/>
      <c r="B222" s="9"/>
      <c r="C222" s="5"/>
      <c r="D222" s="5"/>
      <c r="E222" s="5"/>
      <c r="F222" s="5"/>
      <c r="G222" s="5"/>
      <c r="H222" s="5"/>
      <c r="I222" s="17"/>
      <c r="J222" s="17"/>
      <c r="K222" s="17"/>
      <c r="L222" s="17"/>
      <c r="M222" s="95"/>
      <c r="N222" s="17"/>
      <c r="O222" s="17"/>
      <c r="P222" s="17"/>
      <c r="Q222" s="17"/>
      <c r="R222" s="17"/>
    </row>
    <row r="223" spans="1:18" ht="12">
      <c r="A223" s="5"/>
      <c r="B223" s="9"/>
      <c r="C223" s="5"/>
      <c r="D223" s="5"/>
      <c r="E223" s="5"/>
      <c r="F223" s="5"/>
      <c r="G223" s="5"/>
      <c r="H223" s="5"/>
      <c r="I223" s="17"/>
      <c r="J223" s="17"/>
      <c r="K223" s="17"/>
      <c r="L223" s="17"/>
      <c r="M223" s="95"/>
      <c r="N223" s="17"/>
      <c r="O223" s="17"/>
      <c r="P223" s="17"/>
      <c r="Q223" s="17"/>
      <c r="R223" s="17"/>
    </row>
    <row r="224" spans="1:18" ht="12">
      <c r="A224" s="5"/>
      <c r="B224" s="9"/>
      <c r="C224" s="5"/>
      <c r="D224" s="5"/>
      <c r="E224" s="5"/>
      <c r="F224" s="5"/>
      <c r="G224" s="5"/>
      <c r="H224" s="5"/>
      <c r="I224" s="17"/>
      <c r="J224" s="17"/>
      <c r="K224" s="17"/>
      <c r="L224" s="17"/>
      <c r="M224" s="95"/>
      <c r="N224" s="17"/>
      <c r="O224" s="17"/>
      <c r="P224" s="17"/>
      <c r="Q224" s="17"/>
      <c r="R224" s="17"/>
    </row>
    <row r="225" spans="1:18" ht="12">
      <c r="A225" s="5"/>
      <c r="B225" s="9"/>
      <c r="C225" s="5"/>
      <c r="D225" s="5"/>
      <c r="E225" s="5"/>
      <c r="F225" s="5"/>
      <c r="G225" s="5"/>
      <c r="H225" s="5"/>
      <c r="I225" s="17"/>
      <c r="J225" s="17"/>
      <c r="K225" s="17"/>
      <c r="L225" s="17"/>
      <c r="M225" s="95"/>
      <c r="N225" s="17"/>
      <c r="O225" s="17"/>
      <c r="P225" s="17"/>
      <c r="Q225" s="17"/>
      <c r="R225" s="17"/>
    </row>
    <row r="226" spans="1:18" ht="12">
      <c r="A226" s="5"/>
      <c r="B226" s="9"/>
      <c r="C226" s="5"/>
      <c r="D226" s="5"/>
      <c r="E226" s="5"/>
      <c r="F226" s="5"/>
      <c r="G226" s="5"/>
      <c r="H226" s="5"/>
      <c r="I226" s="17"/>
      <c r="J226" s="17"/>
      <c r="K226" s="17"/>
      <c r="L226" s="17"/>
      <c r="M226" s="95"/>
      <c r="N226" s="17"/>
      <c r="O226" s="17"/>
      <c r="P226" s="17"/>
      <c r="Q226" s="17"/>
      <c r="R226" s="17"/>
    </row>
    <row r="227" spans="1:18" ht="12">
      <c r="A227" s="5"/>
      <c r="B227" s="9"/>
      <c r="C227" s="5"/>
      <c r="D227" s="5"/>
      <c r="E227" s="5"/>
      <c r="F227" s="5"/>
      <c r="G227" s="5"/>
      <c r="H227" s="5"/>
      <c r="I227" s="17"/>
      <c r="J227" s="17"/>
      <c r="K227" s="17"/>
      <c r="L227" s="17"/>
      <c r="M227" s="95"/>
      <c r="N227" s="17"/>
      <c r="O227" s="17"/>
      <c r="P227" s="17"/>
      <c r="Q227" s="17"/>
      <c r="R227" s="17"/>
    </row>
    <row r="228" spans="1:18" ht="12">
      <c r="A228" s="5"/>
      <c r="B228" s="9"/>
      <c r="C228" s="5"/>
      <c r="D228" s="5"/>
      <c r="E228" s="5"/>
      <c r="F228" s="5"/>
      <c r="G228" s="5"/>
      <c r="H228" s="5"/>
      <c r="I228" s="17"/>
      <c r="J228" s="17"/>
      <c r="K228" s="17"/>
      <c r="L228" s="17"/>
      <c r="M228" s="95"/>
      <c r="N228" s="17"/>
      <c r="O228" s="17"/>
      <c r="P228" s="17"/>
      <c r="Q228" s="17"/>
      <c r="R228" s="17"/>
    </row>
    <row r="229" spans="1:18" ht="12">
      <c r="A229" s="5"/>
      <c r="B229" s="9"/>
      <c r="C229" s="5"/>
      <c r="D229" s="5"/>
      <c r="E229" s="5"/>
      <c r="F229" s="5"/>
      <c r="G229" s="5"/>
      <c r="H229" s="5"/>
      <c r="I229" s="17"/>
      <c r="J229" s="17"/>
      <c r="K229" s="17"/>
      <c r="L229" s="17"/>
      <c r="M229" s="95"/>
      <c r="N229" s="17"/>
      <c r="O229" s="17"/>
      <c r="P229" s="17"/>
      <c r="Q229" s="17"/>
      <c r="R229" s="17"/>
    </row>
    <row r="230" spans="1:18" ht="12">
      <c r="A230" s="5"/>
      <c r="B230" s="9"/>
      <c r="C230" s="5"/>
      <c r="D230" s="5"/>
      <c r="E230" s="5"/>
      <c r="F230" s="5"/>
      <c r="G230" s="5"/>
      <c r="H230" s="5"/>
      <c r="I230" s="17"/>
      <c r="J230" s="17"/>
      <c r="K230" s="17"/>
      <c r="L230" s="17"/>
      <c r="M230" s="95"/>
      <c r="N230" s="17"/>
      <c r="O230" s="17"/>
      <c r="P230" s="17"/>
      <c r="Q230" s="17"/>
      <c r="R230" s="17"/>
    </row>
    <row r="231" spans="1:18" ht="12">
      <c r="A231" s="5"/>
      <c r="B231" s="9"/>
      <c r="C231" s="5"/>
      <c r="D231" s="5"/>
      <c r="E231" s="5"/>
      <c r="F231" s="5"/>
      <c r="G231" s="5"/>
      <c r="H231" s="5"/>
      <c r="I231" s="17"/>
      <c r="J231" s="17"/>
      <c r="K231" s="17"/>
      <c r="L231" s="17"/>
      <c r="M231" s="95"/>
      <c r="N231" s="17"/>
      <c r="O231" s="17"/>
      <c r="P231" s="17"/>
      <c r="Q231" s="17"/>
      <c r="R231" s="17"/>
    </row>
    <row r="232" spans="1:18" ht="12">
      <c r="A232" s="5"/>
      <c r="B232" s="9"/>
      <c r="C232" s="5"/>
      <c r="D232" s="5"/>
      <c r="E232" s="5"/>
      <c r="F232" s="5"/>
      <c r="G232" s="5"/>
      <c r="H232" s="5"/>
      <c r="I232" s="17"/>
      <c r="J232" s="17"/>
      <c r="K232" s="17"/>
      <c r="L232" s="17"/>
      <c r="M232" s="95"/>
      <c r="N232" s="17"/>
      <c r="O232" s="17"/>
      <c r="P232" s="17"/>
      <c r="Q232" s="17"/>
      <c r="R232" s="17"/>
    </row>
    <row r="233" spans="1:18" ht="12">
      <c r="A233" s="1"/>
      <c r="B233" s="4"/>
      <c r="C233" s="1"/>
      <c r="D233" s="1"/>
      <c r="E233" s="1"/>
      <c r="F233" s="1"/>
      <c r="G233" s="1"/>
      <c r="H233" s="1"/>
      <c r="I233" s="17"/>
      <c r="J233" s="17"/>
      <c r="K233" s="17"/>
      <c r="L233" s="17"/>
      <c r="M233" s="95"/>
      <c r="N233" s="17"/>
      <c r="O233" s="17"/>
      <c r="P233" s="17"/>
      <c r="Q233" s="17"/>
      <c r="R233" s="17"/>
    </row>
    <row r="234" spans="1:18" ht="12">
      <c r="A234" s="1"/>
      <c r="B234" s="4"/>
      <c r="C234" s="1"/>
      <c r="D234" s="1"/>
      <c r="E234" s="1"/>
      <c r="F234" s="1"/>
      <c r="G234" s="1"/>
      <c r="H234" s="1"/>
      <c r="I234" s="17"/>
      <c r="J234" s="17"/>
      <c r="K234" s="17"/>
      <c r="L234" s="17"/>
      <c r="M234" s="95"/>
      <c r="N234" s="17"/>
      <c r="O234" s="17"/>
      <c r="P234" s="17"/>
      <c r="Q234" s="17"/>
      <c r="R234" s="17"/>
    </row>
    <row r="235" spans="1:18" ht="12">
      <c r="A235" s="1"/>
      <c r="B235" s="4"/>
      <c r="C235" s="1"/>
      <c r="D235" s="1"/>
      <c r="E235" s="1"/>
      <c r="F235" s="1"/>
      <c r="G235" s="1"/>
      <c r="H235" s="1"/>
      <c r="I235" s="17"/>
      <c r="J235" s="17"/>
      <c r="K235" s="17"/>
      <c r="L235" s="17"/>
      <c r="M235" s="95"/>
      <c r="N235" s="17"/>
      <c r="O235" s="17"/>
      <c r="P235" s="17"/>
      <c r="Q235" s="17"/>
      <c r="R235" s="17"/>
    </row>
    <row r="236" spans="1:18" ht="12">
      <c r="A236" s="1"/>
      <c r="B236" s="4"/>
      <c r="C236" s="1"/>
      <c r="D236" s="1"/>
      <c r="E236" s="1"/>
      <c r="F236" s="1"/>
      <c r="G236" s="1"/>
      <c r="H236" s="1"/>
      <c r="I236" s="17"/>
      <c r="J236" s="17"/>
      <c r="K236" s="17"/>
      <c r="L236" s="17"/>
      <c r="M236" s="95"/>
      <c r="N236" s="17"/>
      <c r="O236" s="17"/>
      <c r="P236" s="17"/>
      <c r="Q236" s="17"/>
      <c r="R236" s="17"/>
    </row>
    <row r="237" spans="1:18" ht="12">
      <c r="A237" s="1"/>
      <c r="B237" s="4"/>
      <c r="C237" s="1"/>
      <c r="D237" s="1"/>
      <c r="E237" s="1"/>
      <c r="F237" s="1"/>
      <c r="G237" s="1"/>
      <c r="H237" s="1"/>
      <c r="I237" s="17"/>
      <c r="J237" s="17"/>
      <c r="K237" s="17"/>
      <c r="L237" s="17"/>
      <c r="M237" s="95"/>
      <c r="N237" s="17"/>
      <c r="O237" s="17"/>
      <c r="P237" s="17"/>
      <c r="Q237" s="17"/>
      <c r="R237" s="17"/>
    </row>
    <row r="238" spans="1:18" ht="12">
      <c r="A238" s="1"/>
      <c r="B238" s="4"/>
      <c r="C238" s="1"/>
      <c r="D238" s="1"/>
      <c r="E238" s="1"/>
      <c r="F238" s="1"/>
      <c r="G238" s="1"/>
      <c r="H238" s="1"/>
      <c r="I238" s="17"/>
      <c r="J238" s="17"/>
      <c r="K238" s="17"/>
      <c r="L238" s="17"/>
      <c r="M238" s="95"/>
      <c r="N238" s="17"/>
      <c r="O238" s="17"/>
      <c r="P238" s="17"/>
      <c r="Q238" s="17"/>
      <c r="R238" s="17"/>
    </row>
    <row r="239" spans="1:18" ht="12">
      <c r="A239" s="1"/>
      <c r="B239" s="4"/>
      <c r="C239" s="1"/>
      <c r="D239" s="1"/>
      <c r="E239" s="1"/>
      <c r="F239" s="1"/>
      <c r="G239" s="1"/>
      <c r="H239" s="1"/>
      <c r="I239" s="17"/>
      <c r="J239" s="17"/>
      <c r="K239" s="17"/>
      <c r="L239" s="17"/>
      <c r="M239" s="95"/>
      <c r="N239" s="17"/>
      <c r="O239" s="17"/>
      <c r="P239" s="17"/>
      <c r="Q239" s="17"/>
      <c r="R239" s="17"/>
    </row>
    <row r="240" spans="1:18" ht="12">
      <c r="A240" s="1"/>
      <c r="B240" s="4"/>
      <c r="C240" s="1"/>
      <c r="D240" s="1"/>
      <c r="E240" s="1"/>
      <c r="F240" s="1"/>
      <c r="G240" s="1"/>
      <c r="H240" s="1"/>
      <c r="I240" s="17"/>
      <c r="J240" s="17"/>
      <c r="K240" s="17"/>
      <c r="L240" s="17"/>
      <c r="M240" s="95"/>
      <c r="N240" s="17"/>
      <c r="O240" s="17"/>
      <c r="P240" s="17"/>
      <c r="Q240" s="17"/>
      <c r="R240" s="17"/>
    </row>
    <row r="241" spans="1:18" ht="12">
      <c r="A241" s="1"/>
      <c r="B241" s="4"/>
      <c r="C241" s="1"/>
      <c r="D241" s="1"/>
      <c r="E241" s="1"/>
      <c r="F241" s="1"/>
      <c r="G241" s="1"/>
      <c r="H241" s="1"/>
      <c r="I241" s="17"/>
      <c r="J241" s="17"/>
      <c r="K241" s="17"/>
      <c r="L241" s="17"/>
      <c r="M241" s="95"/>
      <c r="N241" s="17"/>
      <c r="O241" s="17"/>
      <c r="P241" s="17"/>
      <c r="Q241" s="17"/>
      <c r="R241" s="17"/>
    </row>
    <row r="242" spans="1:18" ht="12">
      <c r="A242" s="1"/>
      <c r="B242" s="4"/>
      <c r="C242" s="1"/>
      <c r="D242" s="1"/>
      <c r="E242" s="1"/>
      <c r="F242" s="1"/>
      <c r="G242" s="1"/>
      <c r="H242" s="1"/>
      <c r="I242" s="17"/>
      <c r="J242" s="17"/>
      <c r="K242" s="17"/>
      <c r="L242" s="17"/>
      <c r="M242" s="95"/>
      <c r="N242" s="17"/>
      <c r="O242" s="17"/>
      <c r="P242" s="17"/>
      <c r="Q242" s="17"/>
      <c r="R242" s="17"/>
    </row>
    <row r="243" spans="1:18" ht="12">
      <c r="A243" s="1"/>
      <c r="B243" s="4"/>
      <c r="C243" s="1"/>
      <c r="D243" s="1"/>
      <c r="E243" s="1"/>
      <c r="F243" s="1"/>
      <c r="G243" s="1"/>
      <c r="H243" s="1"/>
      <c r="I243" s="17"/>
      <c r="J243" s="17"/>
      <c r="K243" s="17"/>
      <c r="L243" s="17"/>
      <c r="M243" s="95"/>
      <c r="N243" s="17"/>
      <c r="O243" s="17"/>
      <c r="P243" s="17"/>
      <c r="Q243" s="17"/>
      <c r="R243" s="17"/>
    </row>
    <row r="244" spans="1:8" ht="12">
      <c r="A244" s="1"/>
      <c r="B244" s="4"/>
      <c r="C244" s="1"/>
      <c r="D244" s="1"/>
      <c r="E244" s="1"/>
      <c r="F244" s="1"/>
      <c r="G244" s="1"/>
      <c r="H244" s="1"/>
    </row>
    <row r="245" spans="1:8" ht="12">
      <c r="A245" s="1"/>
      <c r="B245" s="4"/>
      <c r="C245" s="1"/>
      <c r="D245" s="1"/>
      <c r="E245" s="1"/>
      <c r="F245" s="1"/>
      <c r="G245" s="1"/>
      <c r="H245" s="1"/>
    </row>
    <row r="246" spans="1:8" ht="12">
      <c r="A246" s="1"/>
      <c r="B246" s="4"/>
      <c r="C246" s="1"/>
      <c r="D246" s="1"/>
      <c r="E246" s="1"/>
      <c r="F246" s="1"/>
      <c r="G246" s="1"/>
      <c r="H246" s="1"/>
    </row>
    <row r="247" spans="1:8" ht="12">
      <c r="A247" s="1"/>
      <c r="B247" s="4"/>
      <c r="C247" s="1"/>
      <c r="D247" s="1"/>
      <c r="E247" s="1"/>
      <c r="F247" s="1"/>
      <c r="G247" s="1"/>
      <c r="H247" s="1"/>
    </row>
    <row r="248" spans="1:8" ht="12">
      <c r="A248" s="1"/>
      <c r="B248" s="4"/>
      <c r="C248" s="1"/>
      <c r="D248" s="1"/>
      <c r="E248" s="1"/>
      <c r="F248" s="1"/>
      <c r="G248" s="1"/>
      <c r="H248" s="1"/>
    </row>
    <row r="249" spans="1:8" ht="12">
      <c r="A249" s="1"/>
      <c r="B249" s="4"/>
      <c r="C249" s="1"/>
      <c r="D249" s="1"/>
      <c r="E249" s="1"/>
      <c r="F249" s="1"/>
      <c r="G249" s="1"/>
      <c r="H249" s="1"/>
    </row>
    <row r="250" spans="1:8" ht="12">
      <c r="A250" s="1"/>
      <c r="B250" s="4"/>
      <c r="C250" s="1"/>
      <c r="D250" s="1"/>
      <c r="E250" s="1"/>
      <c r="F250" s="1"/>
      <c r="G250" s="1"/>
      <c r="H250" s="1"/>
    </row>
    <row r="251" spans="1:8" ht="12">
      <c r="A251" s="1"/>
      <c r="B251" s="4"/>
      <c r="C251" s="1"/>
      <c r="D251" s="1"/>
      <c r="E251" s="1"/>
      <c r="F251" s="1"/>
      <c r="G251" s="1"/>
      <c r="H251" s="1"/>
    </row>
    <row r="252" spans="1:8" ht="12">
      <c r="A252" s="1"/>
      <c r="B252" s="4"/>
      <c r="C252" s="1"/>
      <c r="D252" s="1"/>
      <c r="E252" s="1"/>
      <c r="F252" s="1"/>
      <c r="G252" s="1"/>
      <c r="H252" s="1"/>
    </row>
    <row r="253" spans="1:8" ht="12">
      <c r="A253" s="1"/>
      <c r="B253" s="4"/>
      <c r="C253" s="1"/>
      <c r="D253" s="1"/>
      <c r="E253" s="1"/>
      <c r="F253" s="1"/>
      <c r="G253" s="1"/>
      <c r="H253" s="1"/>
    </row>
    <row r="254" spans="1:8" ht="12">
      <c r="A254" s="1"/>
      <c r="B254" s="4"/>
      <c r="C254" s="1"/>
      <c r="D254" s="1"/>
      <c r="E254" s="1"/>
      <c r="F254" s="1"/>
      <c r="G254" s="1"/>
      <c r="H254" s="1"/>
    </row>
    <row r="255" spans="1:8" ht="12">
      <c r="A255" s="1"/>
      <c r="B255" s="4"/>
      <c r="C255" s="1"/>
      <c r="D255" s="1"/>
      <c r="E255" s="1"/>
      <c r="F255" s="1"/>
      <c r="G255" s="1"/>
      <c r="H255" s="1"/>
    </row>
    <row r="256" spans="1:8" ht="12">
      <c r="A256" s="1"/>
      <c r="B256" s="4"/>
      <c r="C256" s="1"/>
      <c r="D256" s="1"/>
      <c r="E256" s="1"/>
      <c r="F256" s="1"/>
      <c r="G256" s="1"/>
      <c r="H256" s="1"/>
    </row>
    <row r="257" spans="1:8" ht="12">
      <c r="A257" s="1"/>
      <c r="B257" s="4"/>
      <c r="C257" s="1"/>
      <c r="D257" s="1"/>
      <c r="E257" s="1"/>
      <c r="F257" s="1"/>
      <c r="G257" s="1"/>
      <c r="H257" s="1"/>
    </row>
    <row r="258" spans="1:8" ht="12">
      <c r="A258" s="1"/>
      <c r="B258" s="4"/>
      <c r="C258" s="1"/>
      <c r="D258" s="1"/>
      <c r="E258" s="1"/>
      <c r="F258" s="1"/>
      <c r="G258" s="1"/>
      <c r="H258" s="1"/>
    </row>
    <row r="259" spans="1:8" ht="12">
      <c r="A259" s="1"/>
      <c r="B259" s="4"/>
      <c r="C259" s="1"/>
      <c r="D259" s="1"/>
      <c r="E259" s="1"/>
      <c r="F259" s="1"/>
      <c r="G259" s="1"/>
      <c r="H259" s="1"/>
    </row>
    <row r="260" spans="1:8" ht="12">
      <c r="A260" s="1"/>
      <c r="B260" s="4"/>
      <c r="C260" s="1"/>
      <c r="D260" s="1"/>
      <c r="E260" s="1"/>
      <c r="F260" s="1"/>
      <c r="G260" s="1"/>
      <c r="H260" s="1"/>
    </row>
    <row r="261" spans="1:8" ht="12">
      <c r="A261" s="1"/>
      <c r="B261" s="4"/>
      <c r="C261" s="1"/>
      <c r="D261" s="1"/>
      <c r="E261" s="1"/>
      <c r="F261" s="1"/>
      <c r="G261" s="1"/>
      <c r="H261" s="1"/>
    </row>
    <row r="262" spans="1:8" ht="12">
      <c r="A262" s="1"/>
      <c r="B262" s="4"/>
      <c r="C262" s="1"/>
      <c r="D262" s="1"/>
      <c r="E262" s="1"/>
      <c r="F262" s="1"/>
      <c r="G262" s="1"/>
      <c r="H262" s="1"/>
    </row>
    <row r="263" spans="1:8" ht="12">
      <c r="A263" s="1"/>
      <c r="B263" s="4"/>
      <c r="C263" s="1"/>
      <c r="D263" s="1"/>
      <c r="E263" s="1"/>
      <c r="F263" s="1"/>
      <c r="G263" s="1"/>
      <c r="H263" s="1"/>
    </row>
    <row r="264" spans="1:8" ht="12">
      <c r="A264" s="1"/>
      <c r="B264" s="4"/>
      <c r="C264" s="1"/>
      <c r="D264" s="1"/>
      <c r="E264" s="1"/>
      <c r="F264" s="1"/>
      <c r="G264" s="1"/>
      <c r="H264" s="1"/>
    </row>
    <row r="265" spans="1:8" ht="12">
      <c r="A265" s="1"/>
      <c r="B265" s="4"/>
      <c r="C265" s="1"/>
      <c r="D265" s="1"/>
      <c r="E265" s="1"/>
      <c r="F265" s="1"/>
      <c r="G265" s="1"/>
      <c r="H265" s="1"/>
    </row>
    <row r="266" spans="1:8" ht="12">
      <c r="A266" s="1"/>
      <c r="B266" s="4"/>
      <c r="C266" s="1"/>
      <c r="D266" s="1"/>
      <c r="E266" s="1"/>
      <c r="F266" s="1"/>
      <c r="G266" s="1"/>
      <c r="H266" s="1"/>
    </row>
    <row r="267" spans="1:8" ht="12">
      <c r="A267" s="1"/>
      <c r="B267" s="4"/>
      <c r="C267" s="1"/>
      <c r="D267" s="1"/>
      <c r="E267" s="1"/>
      <c r="F267" s="1"/>
      <c r="G267" s="1"/>
      <c r="H267" s="1"/>
    </row>
    <row r="268" spans="1:8" ht="12">
      <c r="A268" s="1"/>
      <c r="B268" s="4"/>
      <c r="C268" s="1"/>
      <c r="D268" s="1"/>
      <c r="E268" s="1"/>
      <c r="F268" s="1"/>
      <c r="G268" s="1"/>
      <c r="H268" s="1"/>
    </row>
    <row r="269" spans="1:8" ht="12">
      <c r="A269" s="1"/>
      <c r="B269" s="4"/>
      <c r="C269" s="1"/>
      <c r="D269" s="1"/>
      <c r="E269" s="1"/>
      <c r="F269" s="1"/>
      <c r="G269" s="1"/>
      <c r="H269" s="1"/>
    </row>
    <row r="270" spans="1:8" ht="12">
      <c r="A270" s="1"/>
      <c r="B270" s="4"/>
      <c r="C270" s="1"/>
      <c r="D270" s="1"/>
      <c r="E270" s="1"/>
      <c r="F270" s="1"/>
      <c r="G270" s="1"/>
      <c r="H270" s="1"/>
    </row>
    <row r="271" spans="1:8" ht="12">
      <c r="A271" s="1"/>
      <c r="B271" s="4"/>
      <c r="C271" s="1"/>
      <c r="D271" s="1"/>
      <c r="E271" s="1"/>
      <c r="F271" s="1"/>
      <c r="G271" s="1"/>
      <c r="H271" s="1"/>
    </row>
    <row r="272" spans="1:8" ht="12">
      <c r="A272" s="1"/>
      <c r="B272" s="4"/>
      <c r="C272" s="1"/>
      <c r="D272" s="1"/>
      <c r="E272" s="1"/>
      <c r="F272" s="1"/>
      <c r="G272" s="1"/>
      <c r="H272" s="1"/>
    </row>
    <row r="273" spans="1:8" ht="12">
      <c r="A273" s="1"/>
      <c r="B273" s="4"/>
      <c r="C273" s="1"/>
      <c r="D273" s="1"/>
      <c r="E273" s="1"/>
      <c r="F273" s="1"/>
      <c r="G273" s="1"/>
      <c r="H273" s="1"/>
    </row>
    <row r="274" spans="1:8" ht="12">
      <c r="A274" s="1"/>
      <c r="B274" s="4"/>
      <c r="C274" s="1"/>
      <c r="D274" s="1"/>
      <c r="E274" s="1"/>
      <c r="F274" s="1"/>
      <c r="G274" s="1"/>
      <c r="H274" s="1"/>
    </row>
    <row r="275" spans="1:8" ht="12">
      <c r="A275" s="1"/>
      <c r="B275" s="4"/>
      <c r="C275" s="1"/>
      <c r="D275" s="1"/>
      <c r="E275" s="1"/>
      <c r="F275" s="1"/>
      <c r="G275" s="1"/>
      <c r="H275" s="1"/>
    </row>
    <row r="276" spans="1:8" ht="12">
      <c r="A276" s="1"/>
      <c r="B276" s="4"/>
      <c r="C276" s="1"/>
      <c r="D276" s="1"/>
      <c r="E276" s="1"/>
      <c r="F276" s="1"/>
      <c r="G276" s="1"/>
      <c r="H276" s="1"/>
    </row>
    <row r="277" spans="1:8" ht="12">
      <c r="A277" s="1"/>
      <c r="B277" s="4"/>
      <c r="C277" s="1"/>
      <c r="D277" s="1"/>
      <c r="E277" s="1"/>
      <c r="F277" s="1"/>
      <c r="G277" s="1"/>
      <c r="H277" s="1"/>
    </row>
    <row r="278" spans="1:8" ht="12">
      <c r="A278" s="1"/>
      <c r="B278" s="4"/>
      <c r="C278" s="1"/>
      <c r="D278" s="1"/>
      <c r="E278" s="1"/>
      <c r="F278" s="1"/>
      <c r="G278" s="1"/>
      <c r="H278" s="1"/>
    </row>
    <row r="279" spans="1:8" ht="12">
      <c r="A279" s="1"/>
      <c r="B279" s="4"/>
      <c r="C279" s="1"/>
      <c r="D279" s="1"/>
      <c r="E279" s="1"/>
      <c r="F279" s="1"/>
      <c r="G279" s="1"/>
      <c r="H279" s="1"/>
    </row>
    <row r="280" spans="1:8" ht="12">
      <c r="A280" s="1"/>
      <c r="B280" s="4"/>
      <c r="C280" s="1"/>
      <c r="D280" s="1"/>
      <c r="E280" s="1"/>
      <c r="F280" s="1"/>
      <c r="G280" s="1"/>
      <c r="H280" s="1"/>
    </row>
    <row r="281" spans="1:8" ht="12">
      <c r="A281" s="1"/>
      <c r="B281" s="4"/>
      <c r="C281" s="1"/>
      <c r="D281" s="1"/>
      <c r="E281" s="1"/>
      <c r="F281" s="1"/>
      <c r="G281" s="1"/>
      <c r="H281" s="1"/>
    </row>
    <row r="282" spans="1:8" ht="12">
      <c r="A282" s="1"/>
      <c r="B282" s="4"/>
      <c r="C282" s="1"/>
      <c r="D282" s="1"/>
      <c r="E282" s="1"/>
      <c r="F282" s="1"/>
      <c r="G282" s="1"/>
      <c r="H282" s="1"/>
    </row>
    <row r="283" spans="1:8" ht="12">
      <c r="A283" s="1"/>
      <c r="B283" s="4"/>
      <c r="C283" s="1"/>
      <c r="D283" s="1"/>
      <c r="E283" s="1"/>
      <c r="F283" s="1"/>
      <c r="G283" s="1"/>
      <c r="H283" s="1"/>
    </row>
    <row r="284" spans="1:8" ht="12">
      <c r="A284" s="1"/>
      <c r="B284" s="4"/>
      <c r="C284" s="1"/>
      <c r="D284" s="1"/>
      <c r="E284" s="1"/>
      <c r="F284" s="1"/>
      <c r="G284" s="1"/>
      <c r="H284" s="1"/>
    </row>
    <row r="285" spans="1:8" ht="12">
      <c r="A285" s="1"/>
      <c r="B285" s="4"/>
      <c r="C285" s="1"/>
      <c r="D285" s="1"/>
      <c r="E285" s="1"/>
      <c r="F285" s="1"/>
      <c r="G285" s="1"/>
      <c r="H285" s="1"/>
    </row>
    <row r="286" spans="1:8" ht="12">
      <c r="A286" s="1"/>
      <c r="B286" s="4"/>
      <c r="C286" s="1"/>
      <c r="D286" s="1"/>
      <c r="E286" s="1"/>
      <c r="F286" s="1"/>
      <c r="G286" s="1"/>
      <c r="H286" s="1"/>
    </row>
    <row r="287" spans="1:8" ht="12">
      <c r="A287" s="1"/>
      <c r="B287" s="4"/>
      <c r="C287" s="1"/>
      <c r="D287" s="1"/>
      <c r="E287" s="1"/>
      <c r="F287" s="1"/>
      <c r="G287" s="1"/>
      <c r="H287" s="1"/>
    </row>
    <row r="288" spans="1:8" ht="12">
      <c r="A288" s="1"/>
      <c r="B288" s="4"/>
      <c r="C288" s="1"/>
      <c r="D288" s="1"/>
      <c r="E288" s="1"/>
      <c r="F288" s="1"/>
      <c r="G288" s="1"/>
      <c r="H288" s="1"/>
    </row>
    <row r="289" spans="1:8" ht="12">
      <c r="A289" s="1"/>
      <c r="B289" s="4"/>
      <c r="C289" s="1"/>
      <c r="D289" s="1"/>
      <c r="E289" s="1"/>
      <c r="F289" s="1"/>
      <c r="G289" s="1"/>
      <c r="H289" s="1"/>
    </row>
    <row r="290" spans="1:8" ht="12">
      <c r="A290" s="1"/>
      <c r="B290" s="4"/>
      <c r="C290" s="1"/>
      <c r="D290" s="1"/>
      <c r="E290" s="1"/>
      <c r="F290" s="1"/>
      <c r="G290" s="1"/>
      <c r="H290" s="1"/>
    </row>
    <row r="291" spans="1:8" ht="12">
      <c r="A291" s="1"/>
      <c r="B291" s="4"/>
      <c r="C291" s="1"/>
      <c r="D291" s="1"/>
      <c r="E291" s="1"/>
      <c r="F291" s="1"/>
      <c r="G291" s="1"/>
      <c r="H291" s="1"/>
    </row>
    <row r="292" spans="1:8" ht="12">
      <c r="A292" s="1"/>
      <c r="B292" s="4"/>
      <c r="C292" s="1"/>
      <c r="D292" s="1"/>
      <c r="E292" s="1"/>
      <c r="F292" s="1"/>
      <c r="G292" s="1"/>
      <c r="H292" s="1"/>
    </row>
    <row r="293" spans="1:8" ht="12">
      <c r="A293" s="1"/>
      <c r="B293" s="4"/>
      <c r="C293" s="1"/>
      <c r="D293" s="1"/>
      <c r="E293" s="1"/>
      <c r="F293" s="1"/>
      <c r="G293" s="1"/>
      <c r="H293" s="1"/>
    </row>
    <row r="294" spans="1:8" ht="12">
      <c r="A294" s="1"/>
      <c r="B294" s="4"/>
      <c r="C294" s="1"/>
      <c r="D294" s="1"/>
      <c r="E294" s="1"/>
      <c r="F294" s="1"/>
      <c r="G294" s="1"/>
      <c r="H294" s="1"/>
    </row>
    <row r="295" spans="1:8" ht="12">
      <c r="A295" s="1"/>
      <c r="B295" s="4"/>
      <c r="C295" s="1"/>
      <c r="D295" s="1"/>
      <c r="E295" s="1"/>
      <c r="F295" s="1"/>
      <c r="G295" s="1"/>
      <c r="H295" s="1"/>
    </row>
    <row r="296" spans="1:8" ht="12">
      <c r="A296" s="1"/>
      <c r="B296" s="4"/>
      <c r="C296" s="1"/>
      <c r="D296" s="1"/>
      <c r="E296" s="1"/>
      <c r="F296" s="1"/>
      <c r="G296" s="1"/>
      <c r="H296" s="1"/>
    </row>
    <row r="297" spans="1:8" ht="12">
      <c r="A297" s="1"/>
      <c r="B297" s="4"/>
      <c r="C297" s="1"/>
      <c r="D297" s="1"/>
      <c r="E297" s="1"/>
      <c r="F297" s="1"/>
      <c r="G297" s="1"/>
      <c r="H297" s="1"/>
    </row>
    <row r="298" spans="1:8" ht="12">
      <c r="A298" s="1"/>
      <c r="B298" s="4"/>
      <c r="C298" s="1"/>
      <c r="D298" s="1"/>
      <c r="E298" s="1"/>
      <c r="F298" s="1"/>
      <c r="G298" s="1"/>
      <c r="H298" s="1"/>
    </row>
    <row r="299" spans="1:8" ht="12">
      <c r="A299" s="1"/>
      <c r="B299" s="4"/>
      <c r="C299" s="1"/>
      <c r="D299" s="1"/>
      <c r="E299" s="1"/>
      <c r="F299" s="1"/>
      <c r="G299" s="1"/>
      <c r="H299" s="1"/>
    </row>
    <row r="300" spans="1:8" ht="12">
      <c r="A300" s="1"/>
      <c r="B300" s="4"/>
      <c r="C300" s="1"/>
      <c r="D300" s="1"/>
      <c r="E300" s="1"/>
      <c r="F300" s="1"/>
      <c r="G300" s="1"/>
      <c r="H300" s="1"/>
    </row>
    <row r="301" spans="1:8" ht="12">
      <c r="A301" s="1"/>
      <c r="B301" s="4"/>
      <c r="C301" s="1"/>
      <c r="D301" s="1"/>
      <c r="E301" s="1"/>
      <c r="F301" s="1"/>
      <c r="G301" s="1"/>
      <c r="H301" s="1"/>
    </row>
    <row r="302" spans="1:8" ht="12">
      <c r="A302" s="1"/>
      <c r="B302" s="4"/>
      <c r="C302" s="1"/>
      <c r="D302" s="1"/>
      <c r="E302" s="1"/>
      <c r="F302" s="1"/>
      <c r="G302" s="1"/>
      <c r="H302" s="1"/>
    </row>
    <row r="303" spans="1:8" ht="12">
      <c r="A303" s="1"/>
      <c r="B303" s="4"/>
      <c r="C303" s="1"/>
      <c r="D303" s="1"/>
      <c r="E303" s="1"/>
      <c r="F303" s="1"/>
      <c r="G303" s="1"/>
      <c r="H303" s="1"/>
    </row>
    <row r="304" spans="1:8" ht="12">
      <c r="A304" s="1"/>
      <c r="B304" s="4"/>
      <c r="C304" s="1"/>
      <c r="D304" s="1"/>
      <c r="E304" s="1"/>
      <c r="F304" s="1"/>
      <c r="G304" s="1"/>
      <c r="H304" s="1"/>
    </row>
    <row r="305" spans="1:8" ht="12">
      <c r="A305" s="1"/>
      <c r="B305" s="4"/>
      <c r="C305" s="1"/>
      <c r="D305" s="1"/>
      <c r="E305" s="1"/>
      <c r="F305" s="1"/>
      <c r="G305" s="1"/>
      <c r="H305" s="1"/>
    </row>
    <row r="306" spans="1:8" ht="12">
      <c r="A306" s="1"/>
      <c r="B306" s="4"/>
      <c r="C306" s="1"/>
      <c r="D306" s="1"/>
      <c r="E306" s="1"/>
      <c r="F306" s="1"/>
      <c r="G306" s="1"/>
      <c r="H306" s="1"/>
    </row>
    <row r="307" spans="1:8" ht="12">
      <c r="A307" s="1"/>
      <c r="B307" s="4"/>
      <c r="C307" s="1"/>
      <c r="D307" s="1"/>
      <c r="E307" s="1"/>
      <c r="F307" s="1"/>
      <c r="G307" s="1"/>
      <c r="H307" s="1"/>
    </row>
    <row r="308" spans="1:8" ht="12">
      <c r="A308" s="1"/>
      <c r="B308" s="4"/>
      <c r="C308" s="1"/>
      <c r="D308" s="1"/>
      <c r="E308" s="1"/>
      <c r="F308" s="1"/>
      <c r="G308" s="1"/>
      <c r="H308" s="1"/>
    </row>
    <row r="309" spans="1:8" ht="12">
      <c r="A309" s="1"/>
      <c r="B309" s="4"/>
      <c r="C309" s="1"/>
      <c r="D309" s="1"/>
      <c r="E309" s="1"/>
      <c r="F309" s="1"/>
      <c r="G309" s="1"/>
      <c r="H309" s="1"/>
    </row>
    <row r="310" spans="1:8" ht="12">
      <c r="A310" s="1"/>
      <c r="B310" s="4"/>
      <c r="C310" s="1"/>
      <c r="D310" s="1"/>
      <c r="E310" s="1"/>
      <c r="F310" s="1"/>
      <c r="G310" s="1"/>
      <c r="H310" s="1"/>
    </row>
    <row r="311" spans="1:8" ht="12">
      <c r="A311" s="1"/>
      <c r="B311" s="4"/>
      <c r="C311" s="1"/>
      <c r="D311" s="1"/>
      <c r="E311" s="1"/>
      <c r="F311" s="1"/>
      <c r="G311" s="1"/>
      <c r="H311" s="1"/>
    </row>
    <row r="312" spans="1:8" ht="12">
      <c r="A312" s="1"/>
      <c r="B312" s="4"/>
      <c r="C312" s="1"/>
      <c r="D312" s="1"/>
      <c r="E312" s="1"/>
      <c r="F312" s="1"/>
      <c r="G312" s="1"/>
      <c r="H312" s="1"/>
    </row>
    <row r="313" spans="1:8" ht="12">
      <c r="A313" s="1"/>
      <c r="B313" s="4"/>
      <c r="C313" s="1"/>
      <c r="D313" s="1"/>
      <c r="E313" s="1"/>
      <c r="F313" s="1"/>
      <c r="G313" s="1"/>
      <c r="H313" s="1"/>
    </row>
    <row r="314" spans="1:8" ht="12">
      <c r="A314" s="1"/>
      <c r="B314" s="4"/>
      <c r="C314" s="1"/>
      <c r="D314" s="1"/>
      <c r="E314" s="1"/>
      <c r="F314" s="1"/>
      <c r="G314" s="1"/>
      <c r="H314" s="1"/>
    </row>
    <row r="315" spans="1:8" ht="12">
      <c r="A315" s="1"/>
      <c r="B315" s="4"/>
      <c r="C315" s="1"/>
      <c r="D315" s="1"/>
      <c r="E315" s="1"/>
      <c r="F315" s="1"/>
      <c r="G315" s="1"/>
      <c r="H315" s="1"/>
    </row>
    <row r="316" spans="1:8" ht="12">
      <c r="A316" s="1"/>
      <c r="B316" s="4"/>
      <c r="C316" s="1"/>
      <c r="D316" s="1"/>
      <c r="E316" s="1"/>
      <c r="F316" s="1"/>
      <c r="G316" s="1"/>
      <c r="H316" s="1"/>
    </row>
    <row r="317" spans="1:8" ht="12">
      <c r="A317" s="1"/>
      <c r="B317" s="4"/>
      <c r="C317" s="1"/>
      <c r="D317" s="1"/>
      <c r="E317" s="1"/>
      <c r="F317" s="1"/>
      <c r="G317" s="1"/>
      <c r="H317" s="1"/>
    </row>
    <row r="318" spans="1:8" ht="12">
      <c r="A318" s="1"/>
      <c r="B318" s="4"/>
      <c r="C318" s="1"/>
      <c r="D318" s="1"/>
      <c r="E318" s="1"/>
      <c r="F318" s="1"/>
      <c r="G318" s="1"/>
      <c r="H318" s="1"/>
    </row>
    <row r="319" spans="1:8" ht="12">
      <c r="A319" s="1"/>
      <c r="B319" s="4"/>
      <c r="C319" s="1"/>
      <c r="D319" s="1"/>
      <c r="E319" s="1"/>
      <c r="F319" s="1"/>
      <c r="G319" s="1"/>
      <c r="H319" s="1"/>
    </row>
    <row r="320" spans="1:8" ht="12">
      <c r="A320" s="1"/>
      <c r="B320" s="4"/>
      <c r="C320" s="1"/>
      <c r="D320" s="1"/>
      <c r="E320" s="1"/>
      <c r="F320" s="1"/>
      <c r="G320" s="1"/>
      <c r="H320" s="1"/>
    </row>
    <row r="321" spans="1:8" ht="12">
      <c r="A321" s="1"/>
      <c r="B321" s="4"/>
      <c r="C321" s="1"/>
      <c r="D321" s="1"/>
      <c r="E321" s="1"/>
      <c r="F321" s="1"/>
      <c r="G321" s="1"/>
      <c r="H321" s="1"/>
    </row>
    <row r="322" spans="1:8" ht="12">
      <c r="A322" s="1"/>
      <c r="B322" s="4"/>
      <c r="C322" s="1"/>
      <c r="D322" s="1"/>
      <c r="E322" s="1"/>
      <c r="F322" s="1"/>
      <c r="G322" s="1"/>
      <c r="H322" s="1"/>
    </row>
    <row r="323" spans="1:8" ht="12">
      <c r="A323" s="1"/>
      <c r="B323" s="4"/>
      <c r="C323" s="1"/>
      <c r="D323" s="1"/>
      <c r="E323" s="1"/>
      <c r="F323" s="1"/>
      <c r="G323" s="1"/>
      <c r="H323" s="1"/>
    </row>
    <row r="324" spans="1:8" ht="12">
      <c r="A324" s="1"/>
      <c r="B324" s="4"/>
      <c r="C324" s="1"/>
      <c r="D324" s="1"/>
      <c r="E324" s="1"/>
      <c r="F324" s="1"/>
      <c r="G324" s="1"/>
      <c r="H324" s="1"/>
    </row>
    <row r="325" spans="1:8" ht="12">
      <c r="A325" s="1"/>
      <c r="B325" s="4"/>
      <c r="C325" s="1"/>
      <c r="D325" s="1"/>
      <c r="E325" s="1"/>
      <c r="F325" s="1"/>
      <c r="G325" s="1"/>
      <c r="H325" s="1"/>
    </row>
    <row r="326" spans="1:8" ht="12">
      <c r="A326" s="1"/>
      <c r="B326" s="4"/>
      <c r="C326" s="1"/>
      <c r="D326" s="1"/>
      <c r="E326" s="1"/>
      <c r="F326" s="1"/>
      <c r="G326" s="1"/>
      <c r="H326" s="1"/>
    </row>
    <row r="327" spans="1:8" ht="12">
      <c r="A327" s="1"/>
      <c r="B327" s="4"/>
      <c r="C327" s="1"/>
      <c r="D327" s="1"/>
      <c r="E327" s="1"/>
      <c r="F327" s="1"/>
      <c r="G327" s="1"/>
      <c r="H327" s="1"/>
    </row>
    <row r="328" spans="1:8" ht="12">
      <c r="A328" s="1"/>
      <c r="B328" s="4"/>
      <c r="C328" s="1"/>
      <c r="D328" s="1"/>
      <c r="E328" s="1"/>
      <c r="F328" s="1"/>
      <c r="G328" s="1"/>
      <c r="H328" s="1"/>
    </row>
    <row r="329" spans="1:8" ht="12">
      <c r="A329" s="1"/>
      <c r="B329" s="4"/>
      <c r="C329" s="1"/>
      <c r="D329" s="1"/>
      <c r="E329" s="1"/>
      <c r="F329" s="1"/>
      <c r="G329" s="1"/>
      <c r="H329" s="1"/>
    </row>
    <row r="330" spans="1:8" ht="12">
      <c r="A330" s="1"/>
      <c r="B330" s="4"/>
      <c r="C330" s="1"/>
      <c r="D330" s="1"/>
      <c r="E330" s="1"/>
      <c r="F330" s="1"/>
      <c r="G330" s="1"/>
      <c r="H330" s="1"/>
    </row>
    <row r="331" spans="1:8" ht="12">
      <c r="A331" s="1"/>
      <c r="B331" s="4"/>
      <c r="C331" s="1"/>
      <c r="D331" s="1"/>
      <c r="E331" s="1"/>
      <c r="F331" s="1"/>
      <c r="G331" s="1"/>
      <c r="H331" s="1"/>
    </row>
    <row r="332" spans="1:8" ht="12">
      <c r="A332" s="1"/>
      <c r="B332" s="4"/>
      <c r="C332" s="1"/>
      <c r="D332" s="1"/>
      <c r="E332" s="1"/>
      <c r="F332" s="1"/>
      <c r="G332" s="1"/>
      <c r="H332" s="1"/>
    </row>
    <row r="333" spans="1:8" ht="12">
      <c r="A333" s="1"/>
      <c r="B333" s="4"/>
      <c r="C333" s="1"/>
      <c r="D333" s="1"/>
      <c r="E333" s="1"/>
      <c r="F333" s="1"/>
      <c r="G333" s="1"/>
      <c r="H333" s="1"/>
    </row>
    <row r="334" spans="1:8" ht="12">
      <c r="A334" s="1"/>
      <c r="B334" s="4"/>
      <c r="C334" s="1"/>
      <c r="D334" s="1"/>
      <c r="E334" s="1"/>
      <c r="F334" s="1"/>
      <c r="G334" s="1"/>
      <c r="H334" s="1"/>
    </row>
    <row r="335" spans="1:8" ht="12">
      <c r="A335" s="1"/>
      <c r="B335" s="4"/>
      <c r="C335" s="1"/>
      <c r="D335" s="1"/>
      <c r="E335" s="1"/>
      <c r="F335" s="1"/>
      <c r="G335" s="1"/>
      <c r="H335" s="1"/>
    </row>
    <row r="336" spans="1:8" ht="12">
      <c r="A336" s="1"/>
      <c r="B336" s="4"/>
      <c r="C336" s="1"/>
      <c r="D336" s="1"/>
      <c r="E336" s="1"/>
      <c r="F336" s="1"/>
      <c r="G336" s="1"/>
      <c r="H336" s="1"/>
    </row>
    <row r="337" spans="1:8" ht="12">
      <c r="A337" s="1"/>
      <c r="B337" s="4"/>
      <c r="C337" s="1"/>
      <c r="D337" s="1"/>
      <c r="E337" s="1"/>
      <c r="F337" s="1"/>
      <c r="G337" s="1"/>
      <c r="H337" s="1"/>
    </row>
    <row r="338" spans="1:8" ht="12">
      <c r="A338" s="1"/>
      <c r="B338" s="4"/>
      <c r="C338" s="1"/>
      <c r="D338" s="1"/>
      <c r="E338" s="1"/>
      <c r="F338" s="1"/>
      <c r="G338" s="1"/>
      <c r="H338" s="1"/>
    </row>
    <row r="339" spans="1:8" ht="12">
      <c r="A339" s="1"/>
      <c r="B339" s="4"/>
      <c r="C339" s="1"/>
      <c r="D339" s="1"/>
      <c r="E339" s="1"/>
      <c r="F339" s="1"/>
      <c r="G339" s="1"/>
      <c r="H339" s="1"/>
    </row>
    <row r="340" spans="1:8" ht="12">
      <c r="A340" s="1"/>
      <c r="B340" s="4"/>
      <c r="C340" s="1"/>
      <c r="D340" s="1"/>
      <c r="E340" s="1"/>
      <c r="F340" s="1"/>
      <c r="G340" s="1"/>
      <c r="H340" s="1"/>
    </row>
    <row r="341" spans="1:8" ht="12">
      <c r="A341" s="1"/>
      <c r="B341" s="4"/>
      <c r="C341" s="1"/>
      <c r="D341" s="1"/>
      <c r="E341" s="1"/>
      <c r="F341" s="1"/>
      <c r="G341" s="1"/>
      <c r="H341" s="1"/>
    </row>
    <row r="342" spans="1:8" ht="12">
      <c r="A342" s="1"/>
      <c r="B342" s="4"/>
      <c r="C342" s="1"/>
      <c r="D342" s="1"/>
      <c r="E342" s="1"/>
      <c r="F342" s="1"/>
      <c r="G342" s="1"/>
      <c r="H342" s="1"/>
    </row>
    <row r="343" spans="1:8" ht="12">
      <c r="A343" s="1"/>
      <c r="B343" s="4"/>
      <c r="C343" s="1"/>
      <c r="D343" s="1"/>
      <c r="E343" s="1"/>
      <c r="F343" s="1"/>
      <c r="G343" s="1"/>
      <c r="H343" s="1"/>
    </row>
    <row r="344" spans="1:8" ht="12">
      <c r="A344" s="1"/>
      <c r="B344" s="4"/>
      <c r="C344" s="1"/>
      <c r="D344" s="1"/>
      <c r="E344" s="1"/>
      <c r="F344" s="1"/>
      <c r="G344" s="1"/>
      <c r="H344" s="1"/>
    </row>
    <row r="345" spans="1:8" ht="12">
      <c r="A345" s="1"/>
      <c r="B345" s="4"/>
      <c r="C345" s="1"/>
      <c r="D345" s="1"/>
      <c r="E345" s="1"/>
      <c r="F345" s="1"/>
      <c r="G345" s="1"/>
      <c r="H345" s="1"/>
    </row>
    <row r="346" spans="1:8" ht="12">
      <c r="A346" s="1"/>
      <c r="B346" s="4"/>
      <c r="C346" s="1"/>
      <c r="D346" s="1"/>
      <c r="E346" s="1"/>
      <c r="F346" s="1"/>
      <c r="G346" s="1"/>
      <c r="H346" s="1"/>
    </row>
    <row r="347" spans="1:8" ht="12">
      <c r="A347" s="1"/>
      <c r="B347" s="4"/>
      <c r="C347" s="1"/>
      <c r="D347" s="1"/>
      <c r="E347" s="1"/>
      <c r="F347" s="1"/>
      <c r="G347" s="1"/>
      <c r="H347" s="1"/>
    </row>
    <row r="348" spans="1:8" ht="12">
      <c r="A348" s="1"/>
      <c r="B348" s="4"/>
      <c r="C348" s="1"/>
      <c r="D348" s="1"/>
      <c r="E348" s="1"/>
      <c r="F348" s="1"/>
      <c r="G348" s="1"/>
      <c r="H348" s="1"/>
    </row>
    <row r="349" spans="1:8" ht="12">
      <c r="A349" s="1"/>
      <c r="B349" s="4"/>
      <c r="C349" s="1"/>
      <c r="D349" s="1"/>
      <c r="E349" s="1"/>
      <c r="F349" s="1"/>
      <c r="G349" s="1"/>
      <c r="H349" s="1"/>
    </row>
    <row r="350" spans="1:8" ht="12">
      <c r="A350" s="1"/>
      <c r="B350" s="4"/>
      <c r="C350" s="1"/>
      <c r="D350" s="1"/>
      <c r="E350" s="1"/>
      <c r="F350" s="1"/>
      <c r="G350" s="1"/>
      <c r="H350" s="1"/>
    </row>
    <row r="351" spans="1:8" ht="12">
      <c r="A351" s="1"/>
      <c r="B351" s="4"/>
      <c r="C351" s="1"/>
      <c r="D351" s="1"/>
      <c r="E351" s="1"/>
      <c r="F351" s="1"/>
      <c r="G351" s="1"/>
      <c r="H351" s="1"/>
    </row>
    <row r="352" spans="1:8" ht="12">
      <c r="A352" s="1"/>
      <c r="B352" s="4"/>
      <c r="C352" s="1"/>
      <c r="D352" s="1"/>
      <c r="E352" s="1"/>
      <c r="F352" s="1"/>
      <c r="G352" s="1"/>
      <c r="H352" s="1"/>
    </row>
    <row r="353" spans="1:8" ht="12">
      <c r="A353" s="1"/>
      <c r="B353" s="4"/>
      <c r="C353" s="1"/>
      <c r="D353" s="1"/>
      <c r="E353" s="1"/>
      <c r="F353" s="1"/>
      <c r="G353" s="1"/>
      <c r="H353" s="1"/>
    </row>
    <row r="354" spans="1:8" ht="12">
      <c r="A354" s="1"/>
      <c r="B354" s="4"/>
      <c r="C354" s="1"/>
      <c r="D354" s="1"/>
      <c r="E354" s="1"/>
      <c r="F354" s="1"/>
      <c r="G354" s="1"/>
      <c r="H354" s="1"/>
    </row>
    <row r="355" spans="1:8" ht="12">
      <c r="A355" s="1"/>
      <c r="B355" s="4"/>
      <c r="C355" s="1"/>
      <c r="D355" s="1"/>
      <c r="E355" s="1"/>
      <c r="F355" s="1"/>
      <c r="G355" s="1"/>
      <c r="H355" s="1"/>
    </row>
    <row r="356" spans="1:8" ht="12">
      <c r="A356" s="1"/>
      <c r="B356" s="4"/>
      <c r="C356" s="1"/>
      <c r="D356" s="1"/>
      <c r="E356" s="1"/>
      <c r="F356" s="1"/>
      <c r="G356" s="1"/>
      <c r="H356" s="1"/>
    </row>
    <row r="357" spans="1:8" ht="12">
      <c r="A357" s="1"/>
      <c r="B357" s="4"/>
      <c r="C357" s="1"/>
      <c r="D357" s="1"/>
      <c r="E357" s="1"/>
      <c r="F357" s="1"/>
      <c r="G357" s="1"/>
      <c r="H357" s="1"/>
    </row>
    <row r="358" spans="1:8" ht="12">
      <c r="A358" s="1"/>
      <c r="B358" s="4"/>
      <c r="C358" s="1"/>
      <c r="D358" s="1"/>
      <c r="E358" s="1"/>
      <c r="F358" s="1"/>
      <c r="G358" s="1"/>
      <c r="H358" s="1"/>
    </row>
    <row r="359" spans="1:8" ht="12">
      <c r="A359" s="1"/>
      <c r="B359" s="4"/>
      <c r="C359" s="1"/>
      <c r="D359" s="1"/>
      <c r="E359" s="1"/>
      <c r="F359" s="1"/>
      <c r="G359" s="1"/>
      <c r="H359" s="1"/>
    </row>
    <row r="360" spans="1:8" ht="12">
      <c r="A360" s="1"/>
      <c r="B360" s="4"/>
      <c r="C360" s="1"/>
      <c r="D360" s="1"/>
      <c r="E360" s="1"/>
      <c r="F360" s="1"/>
      <c r="G360" s="1"/>
      <c r="H360" s="1"/>
    </row>
    <row r="361" spans="1:8" ht="12">
      <c r="A361" s="1"/>
      <c r="B361" s="4"/>
      <c r="C361" s="1"/>
      <c r="D361" s="1"/>
      <c r="E361" s="1"/>
      <c r="F361" s="1"/>
      <c r="G361" s="1"/>
      <c r="H361" s="1"/>
    </row>
    <row r="362" spans="1:8" ht="12">
      <c r="A362" s="1"/>
      <c r="B362" s="4"/>
      <c r="C362" s="1"/>
      <c r="D362" s="1"/>
      <c r="E362" s="1"/>
      <c r="F362" s="1"/>
      <c r="G362" s="1"/>
      <c r="H362" s="1"/>
    </row>
    <row r="363" spans="1:8" ht="12">
      <c r="A363" s="1"/>
      <c r="B363" s="4"/>
      <c r="C363" s="1"/>
      <c r="D363" s="1"/>
      <c r="E363" s="1"/>
      <c r="F363" s="1"/>
      <c r="G363" s="1"/>
      <c r="H363" s="1"/>
    </row>
    <row r="364" spans="1:8" ht="12">
      <c r="A364" s="1"/>
      <c r="B364" s="4"/>
      <c r="C364" s="1"/>
      <c r="D364" s="1"/>
      <c r="E364" s="1"/>
      <c r="F364" s="1"/>
      <c r="G364" s="1"/>
      <c r="H364" s="1"/>
    </row>
    <row r="365" spans="1:8" ht="12">
      <c r="A365" s="1"/>
      <c r="B365" s="4"/>
      <c r="C365" s="1"/>
      <c r="D365" s="1"/>
      <c r="E365" s="1"/>
      <c r="F365" s="1"/>
      <c r="G365" s="1"/>
      <c r="H365" s="1"/>
    </row>
    <row r="366" spans="1:8" ht="12">
      <c r="A366" s="1"/>
      <c r="B366" s="4"/>
      <c r="C366" s="1"/>
      <c r="D366" s="1"/>
      <c r="E366" s="1"/>
      <c r="F366" s="1"/>
      <c r="G366" s="1"/>
      <c r="H366" s="1"/>
    </row>
    <row r="367" spans="1:8" ht="12">
      <c r="A367" s="1"/>
      <c r="B367" s="4"/>
      <c r="C367" s="1"/>
      <c r="D367" s="1"/>
      <c r="E367" s="1"/>
      <c r="F367" s="1"/>
      <c r="G367" s="1"/>
      <c r="H367" s="1"/>
    </row>
    <row r="368" spans="1:8" ht="12">
      <c r="A368" s="1"/>
      <c r="B368" s="4"/>
      <c r="C368" s="1"/>
      <c r="D368" s="1"/>
      <c r="E368" s="1"/>
      <c r="F368" s="1"/>
      <c r="G368" s="1"/>
      <c r="H368" s="1"/>
    </row>
    <row r="369" spans="1:8" ht="12">
      <c r="A369" s="1"/>
      <c r="B369" s="4"/>
      <c r="C369" s="1"/>
      <c r="D369" s="1"/>
      <c r="E369" s="1"/>
      <c r="F369" s="1"/>
      <c r="G369" s="1"/>
      <c r="H369" s="1"/>
    </row>
    <row r="370" spans="1:8" ht="12">
      <c r="A370" s="1"/>
      <c r="B370" s="4"/>
      <c r="C370" s="1"/>
      <c r="D370" s="1"/>
      <c r="E370" s="1"/>
      <c r="F370" s="1"/>
      <c r="G370" s="1"/>
      <c r="H370" s="1"/>
    </row>
    <row r="371" spans="1:8" ht="12">
      <c r="A371" s="1"/>
      <c r="B371" s="4"/>
      <c r="C371" s="1"/>
      <c r="D371" s="1"/>
      <c r="E371" s="1"/>
      <c r="F371" s="1"/>
      <c r="G371" s="1"/>
      <c r="H371" s="1"/>
    </row>
  </sheetData>
  <sheetProtection password="D8FD" sheet="1"/>
  <mergeCells count="1">
    <mergeCell ref="B18:C18"/>
  </mergeCells>
  <dataValidations count="4">
    <dataValidation type="list" allowBlank="1" showInputMessage="1" showErrorMessage="1" sqref="A13">
      <formula1>$K$13:$K$20</formula1>
    </dataValidation>
    <dataValidation type="list" allowBlank="1" showInputMessage="1" showErrorMessage="1" sqref="B25">
      <formula1>$O$30:$O$36</formula1>
    </dataValidation>
    <dataValidation type="list" allowBlank="1" showInputMessage="1" showErrorMessage="1" sqref="C25">
      <formula1>$O$13:$O$20</formula1>
    </dataValidation>
    <dataValidation type="list" allowBlank="1" showInputMessage="1" showErrorMessage="1" sqref="B18:C18">
      <formula1>$K$35:$K$37</formula1>
    </dataValidation>
  </dataValidations>
  <printOptions/>
  <pageMargins left="0.5905511811023623" right="0.3937007874015748" top="0.5905511811023623" bottom="0.5905511811023623" header="0.31496062992125984" footer="0.31496062992125984"/>
  <pageSetup horizontalDpi="300" verticalDpi="3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codeName="Foglio3"/>
  <dimension ref="A1:AD117"/>
  <sheetViews>
    <sheetView zoomScalePageLayoutView="0" workbookViewId="0" topLeftCell="A1">
      <selection activeCell="U20" sqref="U20"/>
    </sheetView>
  </sheetViews>
  <sheetFormatPr defaultColWidth="9.140625" defaultRowHeight="12.75"/>
  <cols>
    <col min="1" max="1" width="45.421875" style="0" customWidth="1"/>
    <col min="2" max="2" width="10.28125" style="0" bestFit="1" customWidth="1"/>
    <col min="8" max="8" width="49.421875" style="0" hidden="1" customWidth="1"/>
    <col min="9" max="9" width="0" style="0" hidden="1" customWidth="1"/>
    <col min="10" max="10" width="10.00390625" style="0" hidden="1" customWidth="1"/>
    <col min="11" max="11" width="10.28125" style="0" hidden="1" customWidth="1"/>
    <col min="12" max="12" width="11.8515625" style="0" hidden="1" customWidth="1"/>
    <col min="13" max="13" width="0" style="0" hidden="1" customWidth="1"/>
    <col min="14" max="14" width="13.00390625" style="0" hidden="1" customWidth="1"/>
    <col min="15" max="15" width="26.57421875" style="0" hidden="1" customWidth="1"/>
    <col min="16" max="19" width="0" style="0" hidden="1" customWidth="1"/>
  </cols>
  <sheetData>
    <row r="1" spans="1:30" ht="33">
      <c r="A1" s="10" t="s">
        <v>293</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2.75">
      <c r="A2" s="323"/>
      <c r="B2" s="323"/>
      <c r="C2" s="323"/>
      <c r="D2" s="323"/>
      <c r="E2" s="323"/>
      <c r="F2" s="323"/>
      <c r="G2" s="323"/>
      <c r="H2" s="323"/>
      <c r="I2" s="323"/>
      <c r="J2" s="323"/>
      <c r="K2" s="455"/>
      <c r="L2" s="323"/>
      <c r="M2" s="323"/>
      <c r="N2" s="323"/>
      <c r="O2" s="323"/>
      <c r="P2" s="323"/>
      <c r="Q2" s="324"/>
      <c r="R2" s="323"/>
      <c r="S2" s="323"/>
      <c r="T2" s="323"/>
      <c r="U2" s="323"/>
      <c r="V2" s="323"/>
      <c r="W2" s="323"/>
      <c r="X2" s="323"/>
      <c r="Y2" s="323"/>
      <c r="Z2" s="323"/>
      <c r="AA2" s="323"/>
      <c r="AB2" s="323"/>
      <c r="AC2" s="323"/>
      <c r="AD2" s="323"/>
    </row>
    <row r="3" spans="1:30" ht="13.5" thickBot="1">
      <c r="A3" s="323"/>
      <c r="B3" s="323"/>
      <c r="C3" s="323"/>
      <c r="D3" s="323"/>
      <c r="E3" s="323"/>
      <c r="F3" s="323"/>
      <c r="G3" s="323"/>
      <c r="H3" s="323"/>
      <c r="I3" s="323"/>
      <c r="J3" s="323"/>
      <c r="K3" s="323"/>
      <c r="L3" s="323"/>
      <c r="M3" s="323"/>
      <c r="N3" s="323"/>
      <c r="O3" s="323"/>
      <c r="P3" s="323"/>
      <c r="Q3" s="324"/>
      <c r="R3" s="323"/>
      <c r="S3" s="323"/>
      <c r="T3" s="323"/>
      <c r="U3" s="323"/>
      <c r="V3" s="323"/>
      <c r="W3" s="323"/>
      <c r="X3" s="323"/>
      <c r="Y3" s="323"/>
      <c r="Z3" s="323"/>
      <c r="AA3" s="323"/>
      <c r="AB3" s="323"/>
      <c r="AC3" s="323"/>
      <c r="AD3" s="323"/>
    </row>
    <row r="4" spans="1:30" ht="13.5" thickTop="1">
      <c r="A4" s="330" t="s">
        <v>60</v>
      </c>
      <c r="B4" s="331"/>
      <c r="C4" s="342"/>
      <c r="D4" s="332"/>
      <c r="E4" s="323"/>
      <c r="F4" s="323"/>
      <c r="G4" s="323"/>
      <c r="H4" s="11"/>
      <c r="I4" s="11"/>
      <c r="J4" s="11"/>
      <c r="K4" s="304" t="s">
        <v>103</v>
      </c>
      <c r="L4" s="304" t="s">
        <v>102</v>
      </c>
      <c r="M4" s="90"/>
      <c r="N4" s="323"/>
      <c r="O4" s="323"/>
      <c r="P4" s="323"/>
      <c r="Q4" s="324"/>
      <c r="R4" s="323"/>
      <c r="S4" s="323"/>
      <c r="T4" s="323"/>
      <c r="U4" s="323"/>
      <c r="V4" s="323"/>
      <c r="W4" s="323"/>
      <c r="X4" s="323"/>
      <c r="Y4" s="323"/>
      <c r="Z4" s="323"/>
      <c r="AA4" s="323"/>
      <c r="AB4" s="323"/>
      <c r="AC4" s="323"/>
      <c r="AD4" s="323"/>
    </row>
    <row r="5" spans="1:30" ht="13.5" thickBot="1">
      <c r="A5" s="333" t="s">
        <v>61</v>
      </c>
      <c r="B5" s="334"/>
      <c r="C5" s="343"/>
      <c r="D5" s="351"/>
      <c r="E5" s="323"/>
      <c r="F5" s="323"/>
      <c r="G5" s="323"/>
      <c r="H5" s="97" t="s">
        <v>23</v>
      </c>
      <c r="I5" s="356"/>
      <c r="J5" s="356"/>
      <c r="K5" s="366">
        <f>Stampa!F46</f>
        <v>26129.770211191986</v>
      </c>
      <c r="L5" s="366">
        <f>K5*1.08333333</f>
        <v>28307.25097502542</v>
      </c>
      <c r="M5" s="90"/>
      <c r="N5" s="323"/>
      <c r="O5" s="325" t="s">
        <v>294</v>
      </c>
      <c r="P5" s="326">
        <f>IF(A8=O6,P6,P7)</f>
        <v>1</v>
      </c>
      <c r="Q5" s="324"/>
      <c r="R5" s="326" t="s">
        <v>299</v>
      </c>
      <c r="S5" s="323"/>
      <c r="T5" s="323"/>
      <c r="U5" s="323"/>
      <c r="V5" s="323"/>
      <c r="W5" s="323"/>
      <c r="X5" s="323"/>
      <c r="Y5" s="323"/>
      <c r="Z5" s="323"/>
      <c r="AA5" s="323"/>
      <c r="AB5" s="323"/>
      <c r="AC5" s="323"/>
      <c r="AD5" s="323"/>
    </row>
    <row r="6" spans="1:30" ht="13.5" thickTop="1">
      <c r="A6" s="96"/>
      <c r="B6" s="90"/>
      <c r="C6" s="269"/>
      <c r="D6" s="88"/>
      <c r="E6" s="323"/>
      <c r="F6" s="323"/>
      <c r="G6" s="323"/>
      <c r="H6" s="100" t="s">
        <v>42</v>
      </c>
      <c r="I6" s="356"/>
      <c r="J6" s="357"/>
      <c r="K6" s="357"/>
      <c r="L6" s="358"/>
      <c r="M6" s="90"/>
      <c r="N6" s="323"/>
      <c r="O6" s="327" t="s">
        <v>295</v>
      </c>
      <c r="P6" s="328">
        <v>1</v>
      </c>
      <c r="Q6" s="324"/>
      <c r="R6" s="328" t="s">
        <v>300</v>
      </c>
      <c r="S6" s="323"/>
      <c r="T6" s="323"/>
      <c r="U6" s="323"/>
      <c r="V6" s="323"/>
      <c r="W6" s="323"/>
      <c r="X6" s="323"/>
      <c r="Y6" s="323"/>
      <c r="Z6" s="323"/>
      <c r="AA6" s="323"/>
      <c r="AB6" s="323"/>
      <c r="AC6" s="323"/>
      <c r="AD6" s="323"/>
    </row>
    <row r="7" spans="1:30" ht="12.75">
      <c r="A7" s="270" t="s">
        <v>294</v>
      </c>
      <c r="B7" s="90"/>
      <c r="C7" s="269"/>
      <c r="D7" s="91"/>
      <c r="E7" s="323"/>
      <c r="F7" s="323"/>
      <c r="G7" s="323"/>
      <c r="H7" s="97" t="s">
        <v>43</v>
      </c>
      <c r="I7" s="98"/>
      <c r="J7" s="359">
        <v>15000</v>
      </c>
      <c r="K7" s="249">
        <v>0.23</v>
      </c>
      <c r="L7" s="360"/>
      <c r="M7" s="90"/>
      <c r="N7" s="323"/>
      <c r="O7" s="327" t="s">
        <v>296</v>
      </c>
      <c r="P7" s="328">
        <v>2</v>
      </c>
      <c r="Q7" s="324"/>
      <c r="R7" s="328" t="s">
        <v>282</v>
      </c>
      <c r="S7" s="323"/>
      <c r="T7" s="323"/>
      <c r="U7" s="323"/>
      <c r="V7" s="323"/>
      <c r="W7" s="323"/>
      <c r="X7" s="323"/>
      <c r="Y7" s="323"/>
      <c r="Z7" s="323"/>
      <c r="AA7" s="323"/>
      <c r="AB7" s="323"/>
      <c r="AC7" s="323"/>
      <c r="AD7" s="323"/>
    </row>
    <row r="8" spans="1:30" ht="12.75">
      <c r="A8" s="322" t="s">
        <v>295</v>
      </c>
      <c r="B8" s="355">
        <f>P5</f>
        <v>1</v>
      </c>
      <c r="C8" s="269"/>
      <c r="D8" s="91"/>
      <c r="E8" s="323"/>
      <c r="F8" s="323"/>
      <c r="G8" s="323"/>
      <c r="H8" s="97" t="s">
        <v>44</v>
      </c>
      <c r="I8" s="98"/>
      <c r="J8" s="359">
        <v>28000</v>
      </c>
      <c r="K8" s="249">
        <v>0.27</v>
      </c>
      <c r="L8" s="359">
        <f>J7*0.04</f>
        <v>600</v>
      </c>
      <c r="M8" s="361"/>
      <c r="N8" s="323"/>
      <c r="O8" s="324"/>
      <c r="P8" s="324"/>
      <c r="Q8" s="324"/>
      <c r="R8" s="323"/>
      <c r="S8" s="323"/>
      <c r="T8" s="323"/>
      <c r="U8" s="323"/>
      <c r="V8" s="323"/>
      <c r="W8" s="323"/>
      <c r="X8" s="323"/>
      <c r="Y8" s="323"/>
      <c r="Z8" s="323"/>
      <c r="AA8" s="323"/>
      <c r="AB8" s="323"/>
      <c r="AC8" s="323"/>
      <c r="AD8" s="323"/>
    </row>
    <row r="9" spans="1:30" ht="13.5" thickBot="1">
      <c r="A9" s="329"/>
      <c r="B9" s="94"/>
      <c r="C9" s="344"/>
      <c r="D9" s="91"/>
      <c r="E9" s="323"/>
      <c r="F9" s="323"/>
      <c r="G9" s="323"/>
      <c r="H9" s="97" t="s">
        <v>45</v>
      </c>
      <c r="I9" s="98"/>
      <c r="J9" s="359">
        <v>55000</v>
      </c>
      <c r="K9" s="249">
        <v>0.38</v>
      </c>
      <c r="L9" s="359">
        <f>L8+J8*0.11</f>
        <v>3680</v>
      </c>
      <c r="M9" s="361"/>
      <c r="N9" s="323"/>
      <c r="O9" s="324"/>
      <c r="P9" s="324"/>
      <c r="Q9" s="324"/>
      <c r="R9" s="323"/>
      <c r="S9" s="323"/>
      <c r="T9" s="323"/>
      <c r="U9" s="323"/>
      <c r="V9" s="323"/>
      <c r="W9" s="323"/>
      <c r="X9" s="323"/>
      <c r="Y9" s="323"/>
      <c r="Z9" s="323"/>
      <c r="AA9" s="323"/>
      <c r="AB9" s="323"/>
      <c r="AC9" s="323"/>
      <c r="AD9" s="323"/>
    </row>
    <row r="10" spans="1:30" ht="13.5" thickTop="1">
      <c r="A10" s="5"/>
      <c r="B10" s="9"/>
      <c r="C10" s="345"/>
      <c r="D10" s="335"/>
      <c r="E10" s="323"/>
      <c r="F10" s="323"/>
      <c r="G10" s="323"/>
      <c r="H10" s="97" t="s">
        <v>46</v>
      </c>
      <c r="I10" s="98"/>
      <c r="J10" s="359">
        <v>75000</v>
      </c>
      <c r="K10" s="249">
        <v>0.41</v>
      </c>
      <c r="L10" s="359">
        <f>L9+J9*0.03</f>
        <v>5330</v>
      </c>
      <c r="M10" s="361"/>
      <c r="N10" s="323"/>
      <c r="O10" s="324"/>
      <c r="P10" s="324"/>
      <c r="Q10" s="324"/>
      <c r="R10" s="323"/>
      <c r="S10" s="323"/>
      <c r="T10" s="323"/>
      <c r="U10" s="323"/>
      <c r="V10" s="323"/>
      <c r="W10" s="323"/>
      <c r="X10" s="323"/>
      <c r="Y10" s="323"/>
      <c r="Z10" s="323"/>
      <c r="AA10" s="323"/>
      <c r="AB10" s="323"/>
      <c r="AC10" s="323"/>
      <c r="AD10" s="323"/>
    </row>
    <row r="11" spans="1:30" ht="12.75">
      <c r="A11" s="5"/>
      <c r="B11" s="9"/>
      <c r="C11" s="346"/>
      <c r="D11" s="336"/>
      <c r="E11" s="323"/>
      <c r="F11" s="323"/>
      <c r="G11" s="323"/>
      <c r="H11" s="97" t="s">
        <v>47</v>
      </c>
      <c r="I11" s="98"/>
      <c r="J11" s="362"/>
      <c r="K11" s="249">
        <v>0.43</v>
      </c>
      <c r="L11" s="359">
        <f>L10+J10*0.02</f>
        <v>6830</v>
      </c>
      <c r="M11" s="361"/>
      <c r="N11" s="323"/>
      <c r="O11" s="324"/>
      <c r="P11" s="324"/>
      <c r="Q11" s="324"/>
      <c r="R11" s="323"/>
      <c r="S11" s="323"/>
      <c r="T11" s="323"/>
      <c r="U11" s="323"/>
      <c r="V11" s="323"/>
      <c r="W11" s="323"/>
      <c r="X11" s="323"/>
      <c r="Y11" s="323"/>
      <c r="Z11" s="323"/>
      <c r="AA11" s="323"/>
      <c r="AB11" s="323"/>
      <c r="AC11" s="323"/>
      <c r="AD11" s="323"/>
    </row>
    <row r="12" spans="1:30" ht="12.75">
      <c r="A12" s="5"/>
      <c r="B12" s="9"/>
      <c r="C12" s="346"/>
      <c r="D12" s="336"/>
      <c r="E12" s="323"/>
      <c r="F12" s="323"/>
      <c r="G12" s="323"/>
      <c r="H12" s="100" t="s">
        <v>48</v>
      </c>
      <c r="I12" s="356"/>
      <c r="J12" s="363"/>
      <c r="K12" s="364"/>
      <c r="L12" s="67"/>
      <c r="M12" s="67"/>
      <c r="N12" s="323"/>
      <c r="O12" s="324"/>
      <c r="P12" s="324"/>
      <c r="Q12" s="324"/>
      <c r="R12" s="323"/>
      <c r="S12" s="323"/>
      <c r="T12" s="323"/>
      <c r="U12" s="323"/>
      <c r="V12" s="323"/>
      <c r="W12" s="323"/>
      <c r="X12" s="323"/>
      <c r="Y12" s="323"/>
      <c r="Z12" s="323"/>
      <c r="AA12" s="323"/>
      <c r="AB12" s="323"/>
      <c r="AC12" s="323"/>
      <c r="AD12" s="323"/>
    </row>
    <row r="13" spans="1:30" ht="13.5" thickBot="1">
      <c r="A13" s="5"/>
      <c r="B13" s="9"/>
      <c r="C13" s="347"/>
      <c r="D13" s="337"/>
      <c r="E13" s="323"/>
      <c r="F13" s="323"/>
      <c r="G13" s="323"/>
      <c r="H13" s="97" t="s">
        <v>49</v>
      </c>
      <c r="I13" s="98"/>
      <c r="J13" s="365">
        <f>K5*K7</f>
        <v>6009.8471485741575</v>
      </c>
      <c r="K13" s="364"/>
      <c r="L13" s="67"/>
      <c r="M13" s="67"/>
      <c r="N13" s="323"/>
      <c r="O13" s="324"/>
      <c r="P13" s="324"/>
      <c r="Q13" s="324"/>
      <c r="R13" s="323"/>
      <c r="S13" s="323"/>
      <c r="T13" s="323"/>
      <c r="U13" s="323"/>
      <c r="V13" s="323"/>
      <c r="W13" s="323"/>
      <c r="X13" s="323"/>
      <c r="Y13" s="323"/>
      <c r="Z13" s="323"/>
      <c r="AA13" s="323"/>
      <c r="AB13" s="323"/>
      <c r="AC13" s="323"/>
      <c r="AD13" s="323"/>
    </row>
    <row r="14" spans="1:30" ht="13.5" thickTop="1">
      <c r="A14" s="86" t="s">
        <v>62</v>
      </c>
      <c r="B14" s="87"/>
      <c r="C14" s="348"/>
      <c r="D14" s="352"/>
      <c r="E14" s="323"/>
      <c r="F14" s="323"/>
      <c r="G14" s="323"/>
      <c r="H14" s="97" t="s">
        <v>50</v>
      </c>
      <c r="I14" s="98"/>
      <c r="J14" s="365">
        <f>K5*K8-L8</f>
        <v>6455.0379570218365</v>
      </c>
      <c r="K14" s="364"/>
      <c r="L14" s="67"/>
      <c r="M14" s="67"/>
      <c r="N14" s="323"/>
      <c r="O14" s="324"/>
      <c r="P14" s="324"/>
      <c r="Q14" s="324"/>
      <c r="R14" s="323"/>
      <c r="S14" s="323"/>
      <c r="T14" s="323"/>
      <c r="U14" s="323"/>
      <c r="V14" s="323"/>
      <c r="W14" s="323"/>
      <c r="X14" s="323"/>
      <c r="Y14" s="323"/>
      <c r="Z14" s="323"/>
      <c r="AA14" s="323"/>
      <c r="AB14" s="323"/>
      <c r="AC14" s="323"/>
      <c r="AD14" s="323"/>
    </row>
    <row r="15" spans="1:30" ht="12.75">
      <c r="A15" s="89" t="s">
        <v>63</v>
      </c>
      <c r="B15" s="90"/>
      <c r="C15" s="269"/>
      <c r="D15" s="352"/>
      <c r="E15" s="323"/>
      <c r="F15" s="323"/>
      <c r="G15" s="323"/>
      <c r="H15" s="97" t="s">
        <v>51</v>
      </c>
      <c r="I15" s="98"/>
      <c r="J15" s="365">
        <f>K5*K9-L9</f>
        <v>6249.312680252955</v>
      </c>
      <c r="K15" s="364"/>
      <c r="L15" s="67"/>
      <c r="M15" s="67"/>
      <c r="N15" s="323"/>
      <c r="O15" s="324"/>
      <c r="P15" s="324"/>
      <c r="Q15" s="324"/>
      <c r="R15" s="323"/>
      <c r="S15" s="323"/>
      <c r="T15" s="323"/>
      <c r="U15" s="323"/>
      <c r="V15" s="323"/>
      <c r="W15" s="323"/>
      <c r="X15" s="323"/>
      <c r="Y15" s="323"/>
      <c r="Z15" s="323"/>
      <c r="AA15" s="323"/>
      <c r="AB15" s="323"/>
      <c r="AC15" s="323"/>
      <c r="AD15" s="323"/>
    </row>
    <row r="16" spans="1:30" ht="12.75">
      <c r="A16" s="92"/>
      <c r="B16" s="90"/>
      <c r="C16" s="269"/>
      <c r="D16" s="352"/>
      <c r="E16" s="323"/>
      <c r="F16" s="323"/>
      <c r="G16" s="323"/>
      <c r="H16" s="97" t="s">
        <v>52</v>
      </c>
      <c r="I16" s="98"/>
      <c r="J16" s="365">
        <f>K5*K10-L10</f>
        <v>5383.205786588715</v>
      </c>
      <c r="K16" s="364"/>
      <c r="L16" s="67"/>
      <c r="M16" s="67"/>
      <c r="N16" s="323"/>
      <c r="O16" s="324"/>
      <c r="P16" s="324"/>
      <c r="Q16" s="324"/>
      <c r="R16" s="323"/>
      <c r="S16" s="323"/>
      <c r="T16" s="323"/>
      <c r="U16" s="323"/>
      <c r="V16" s="323"/>
      <c r="W16" s="323"/>
      <c r="X16" s="323"/>
      <c r="Y16" s="323"/>
      <c r="Z16" s="323"/>
      <c r="AA16" s="323"/>
      <c r="AB16" s="323"/>
      <c r="AC16" s="323"/>
      <c r="AD16" s="323"/>
    </row>
    <row r="17" spans="1:30" ht="12.75">
      <c r="A17" s="92" t="s">
        <v>298</v>
      </c>
      <c r="B17" s="354" t="s">
        <v>282</v>
      </c>
      <c r="C17" s="90"/>
      <c r="D17" s="352"/>
      <c r="E17" s="323"/>
      <c r="F17" s="323"/>
      <c r="G17" s="323"/>
      <c r="H17" s="97" t="s">
        <v>53</v>
      </c>
      <c r="I17" s="98"/>
      <c r="J17" s="365">
        <f>K5*K11-L11</f>
        <v>4405.801190812554</v>
      </c>
      <c r="K17" s="364"/>
      <c r="L17" s="67"/>
      <c r="M17" s="67"/>
      <c r="N17" s="323"/>
      <c r="O17" s="324"/>
      <c r="P17" s="324"/>
      <c r="Q17" s="324"/>
      <c r="R17" s="323"/>
      <c r="S17" s="323"/>
      <c r="T17" s="323"/>
      <c r="U17" s="323"/>
      <c r="V17" s="323"/>
      <c r="W17" s="323"/>
      <c r="X17" s="323"/>
      <c r="Y17" s="323"/>
      <c r="Z17" s="323"/>
      <c r="AA17" s="323"/>
      <c r="AB17" s="323"/>
      <c r="AC17" s="323"/>
      <c r="AD17" s="323"/>
    </row>
    <row r="18" spans="1:30" ht="12.75">
      <c r="A18" s="92"/>
      <c r="B18" s="90"/>
      <c r="C18" s="269" t="s">
        <v>0</v>
      </c>
      <c r="D18" s="352"/>
      <c r="E18" s="323"/>
      <c r="F18" s="323"/>
      <c r="G18" s="323"/>
      <c r="H18" s="323"/>
      <c r="I18" s="323"/>
      <c r="J18" s="323"/>
      <c r="K18" s="323"/>
      <c r="L18" s="323"/>
      <c r="M18" s="11"/>
      <c r="N18" s="11"/>
      <c r="O18" s="11"/>
      <c r="P18" s="324"/>
      <c r="Q18" s="324"/>
      <c r="R18" s="323"/>
      <c r="S18" s="323"/>
      <c r="T18" s="323"/>
      <c r="U18" s="323"/>
      <c r="V18" s="323"/>
      <c r="W18" s="323"/>
      <c r="X18" s="323"/>
      <c r="Y18" s="323"/>
      <c r="Z18" s="323"/>
      <c r="AA18" s="323"/>
      <c r="AB18" s="323"/>
      <c r="AC18" s="323"/>
      <c r="AD18" s="323"/>
    </row>
    <row r="19" spans="1:30" ht="12.75">
      <c r="A19" s="340" t="s">
        <v>297</v>
      </c>
      <c r="B19" s="339">
        <f>IF(C19&gt;0,C19,IF(B17="SI",1,0.5))</f>
        <v>0.5</v>
      </c>
      <c r="C19" s="349">
        <v>0</v>
      </c>
      <c r="D19" s="352"/>
      <c r="E19" s="323"/>
      <c r="F19" s="323"/>
      <c r="G19" s="323"/>
      <c r="H19" s="367"/>
      <c r="I19" s="367"/>
      <c r="J19" s="368" t="s">
        <v>127</v>
      </c>
      <c r="K19" s="369" t="s">
        <v>128</v>
      </c>
      <c r="L19" s="67"/>
      <c r="M19" s="11"/>
      <c r="N19" s="11"/>
      <c r="O19" s="11"/>
      <c r="P19" s="324"/>
      <c r="Q19" s="324"/>
      <c r="R19" s="323"/>
      <c r="S19" s="323"/>
      <c r="T19" s="323"/>
      <c r="U19" s="323"/>
      <c r="V19" s="323"/>
      <c r="W19" s="323"/>
      <c r="X19" s="323"/>
      <c r="Y19" s="323"/>
      <c r="Z19" s="323"/>
      <c r="AA19" s="323"/>
      <c r="AB19" s="323"/>
      <c r="AC19" s="323"/>
      <c r="AD19" s="323"/>
    </row>
    <row r="20" spans="1:30" ht="12.75">
      <c r="A20" s="92"/>
      <c r="B20" s="90"/>
      <c r="C20" s="269" t="s">
        <v>0</v>
      </c>
      <c r="D20" s="352"/>
      <c r="E20" s="338"/>
      <c r="F20" s="323"/>
      <c r="G20" s="323"/>
      <c r="H20" s="103" t="s">
        <v>126</v>
      </c>
      <c r="I20" s="104"/>
      <c r="J20" s="85">
        <f>IF(L5&lt;7500,0,IF(K5&gt;J10,J17,IF(K5&gt;J9,J16,IF(K5&gt;J8,J15,IF(K5&gt;J7,J14,J13)))))</f>
        <v>6455.0379570218365</v>
      </c>
      <c r="K20" s="85">
        <f>IF(J20-J25&lt;0,0,J20-J25)</f>
        <v>5617.5779570218365</v>
      </c>
      <c r="L20" s="67"/>
      <c r="M20" s="11"/>
      <c r="N20" s="11"/>
      <c r="O20" s="11"/>
      <c r="P20" s="324"/>
      <c r="Q20" s="324"/>
      <c r="R20" s="323"/>
      <c r="S20" s="323"/>
      <c r="T20" s="323"/>
      <c r="U20" s="323"/>
      <c r="V20" s="323"/>
      <c r="W20" s="323"/>
      <c r="X20" s="323"/>
      <c r="Y20" s="323"/>
      <c r="Z20" s="323"/>
      <c r="AA20" s="323"/>
      <c r="AB20" s="323"/>
      <c r="AC20" s="323"/>
      <c r="AD20" s="323"/>
    </row>
    <row r="21" spans="1:30" ht="12.75">
      <c r="A21" s="92" t="s">
        <v>64</v>
      </c>
      <c r="B21" s="90"/>
      <c r="C21" s="354">
        <v>0</v>
      </c>
      <c r="D21" s="352"/>
      <c r="E21" s="323"/>
      <c r="F21" s="323"/>
      <c r="G21" s="323"/>
      <c r="H21" s="103" t="s">
        <v>125</v>
      </c>
      <c r="I21" s="104"/>
      <c r="J21" s="85">
        <f>ROUND(J20/12,2)</f>
        <v>537.92</v>
      </c>
      <c r="K21" s="85">
        <f>J21-K25</f>
        <v>468.1316666666666</v>
      </c>
      <c r="L21" s="67"/>
      <c r="M21" s="11"/>
      <c r="N21" s="11"/>
      <c r="O21" s="11"/>
      <c r="P21" s="324"/>
      <c r="Q21" s="324"/>
      <c r="R21" s="323"/>
      <c r="S21" s="323"/>
      <c r="T21" s="323"/>
      <c r="U21" s="323"/>
      <c r="V21" s="323"/>
      <c r="W21" s="323"/>
      <c r="X21" s="323"/>
      <c r="Y21" s="323"/>
      <c r="Z21" s="323"/>
      <c r="AA21" s="323"/>
      <c r="AB21" s="323"/>
      <c r="AC21" s="323"/>
      <c r="AD21" s="323"/>
    </row>
    <row r="22" spans="1:30" ht="12.75">
      <c r="A22" s="92" t="s">
        <v>65</v>
      </c>
      <c r="B22" s="90"/>
      <c r="C22" s="354">
        <v>0</v>
      </c>
      <c r="D22" s="352"/>
      <c r="E22" s="323"/>
      <c r="F22" s="323"/>
      <c r="G22" s="323"/>
      <c r="H22" s="11"/>
      <c r="I22" s="11"/>
      <c r="J22" s="14" t="s">
        <v>99</v>
      </c>
      <c r="K22" s="14" t="s">
        <v>30</v>
      </c>
      <c r="L22" s="11"/>
      <c r="M22" s="11"/>
      <c r="N22" s="11"/>
      <c r="O22" s="11"/>
      <c r="P22" s="324"/>
      <c r="Q22" s="324"/>
      <c r="R22" s="323"/>
      <c r="S22" s="323"/>
      <c r="T22" s="323"/>
      <c r="U22" s="323"/>
      <c r="V22" s="323"/>
      <c r="W22" s="323"/>
      <c r="X22" s="323"/>
      <c r="Y22" s="323"/>
      <c r="Z22" s="323"/>
      <c r="AA22" s="323"/>
      <c r="AB22" s="323"/>
      <c r="AC22" s="323"/>
      <c r="AD22" s="323"/>
    </row>
    <row r="23" spans="1:30" ht="12">
      <c r="A23" s="92" t="s">
        <v>66</v>
      </c>
      <c r="B23" s="90"/>
      <c r="C23" s="354">
        <v>0</v>
      </c>
      <c r="D23" s="352"/>
      <c r="E23" s="323"/>
      <c r="F23" s="323"/>
      <c r="G23" s="323"/>
      <c r="H23" s="97" t="s">
        <v>96</v>
      </c>
      <c r="I23" s="98"/>
      <c r="J23" s="99">
        <f>ROUND(J31,2)</f>
        <v>837.46</v>
      </c>
      <c r="K23" s="99">
        <f>J23/12</f>
        <v>69.78833333333334</v>
      </c>
      <c r="L23" s="11"/>
      <c r="M23" s="11"/>
      <c r="N23" s="11"/>
      <c r="O23" s="11"/>
      <c r="P23" s="323"/>
      <c r="Q23" s="323"/>
      <c r="R23" s="323"/>
      <c r="S23" s="323"/>
      <c r="T23" s="323"/>
      <c r="U23" s="323"/>
      <c r="V23" s="323"/>
      <c r="W23" s="323"/>
      <c r="X23" s="323"/>
      <c r="Y23" s="323"/>
      <c r="Z23" s="323"/>
      <c r="AA23" s="323"/>
      <c r="AB23" s="323"/>
      <c r="AC23" s="323"/>
      <c r="AD23" s="323"/>
    </row>
    <row r="24" spans="1:30" ht="12">
      <c r="A24" s="92"/>
      <c r="B24" s="90"/>
      <c r="C24" s="350"/>
      <c r="D24" s="352"/>
      <c r="E24" s="323"/>
      <c r="F24" s="323"/>
      <c r="G24" s="323"/>
      <c r="H24" s="97" t="s">
        <v>95</v>
      </c>
      <c r="I24" s="98"/>
      <c r="J24" s="99">
        <f>J39+J40+J41</f>
        <v>0</v>
      </c>
      <c r="K24" s="99">
        <f>J24/12</f>
        <v>0</v>
      </c>
      <c r="L24" s="11"/>
      <c r="M24" s="11"/>
      <c r="N24" s="11"/>
      <c r="O24" s="11"/>
      <c r="P24" s="323"/>
      <c r="Q24" s="323"/>
      <c r="R24" s="323"/>
      <c r="S24" s="323"/>
      <c r="T24" s="323"/>
      <c r="U24" s="323"/>
      <c r="V24" s="323"/>
      <c r="W24" s="323"/>
      <c r="X24" s="323"/>
      <c r="Y24" s="323"/>
      <c r="Z24" s="323"/>
      <c r="AA24" s="323"/>
      <c r="AB24" s="323"/>
      <c r="AC24" s="323"/>
      <c r="AD24" s="323"/>
    </row>
    <row r="25" spans="1:30" ht="12.75">
      <c r="A25" s="92" t="s">
        <v>67</v>
      </c>
      <c r="B25" s="90"/>
      <c r="C25" s="354">
        <v>0</v>
      </c>
      <c r="D25" s="352"/>
      <c r="E25" s="323"/>
      <c r="F25" s="323"/>
      <c r="G25" s="323"/>
      <c r="H25" s="100" t="s">
        <v>98</v>
      </c>
      <c r="I25" s="101"/>
      <c r="J25" s="102">
        <f>J23+J24</f>
        <v>837.46</v>
      </c>
      <c r="K25" s="102">
        <f>J25/12</f>
        <v>69.78833333333334</v>
      </c>
      <c r="L25" s="11"/>
      <c r="M25" s="11"/>
      <c r="N25" s="11"/>
      <c r="O25" s="11"/>
      <c r="P25" s="323"/>
      <c r="Q25" s="323"/>
      <c r="R25" s="323"/>
      <c r="S25" s="323"/>
      <c r="T25" s="323"/>
      <c r="U25" s="323"/>
      <c r="V25" s="323"/>
      <c r="W25" s="323"/>
      <c r="X25" s="323"/>
      <c r="Y25" s="323"/>
      <c r="Z25" s="323"/>
      <c r="AA25" s="323"/>
      <c r="AB25" s="323"/>
      <c r="AC25" s="323"/>
      <c r="AD25" s="323"/>
    </row>
    <row r="26" spans="1:30" ht="12.75" thickBot="1">
      <c r="A26" s="93"/>
      <c r="B26" s="94"/>
      <c r="C26" s="344"/>
      <c r="D26" s="352"/>
      <c r="E26" s="323"/>
      <c r="F26" s="323"/>
      <c r="G26" s="323"/>
      <c r="H26" s="11"/>
      <c r="I26" s="11"/>
      <c r="J26" s="11"/>
      <c r="K26" s="11"/>
      <c r="L26" s="11"/>
      <c r="M26" s="11"/>
      <c r="N26" s="11"/>
      <c r="O26" s="11"/>
      <c r="P26" s="323"/>
      <c r="Q26" s="323"/>
      <c r="R26" s="323"/>
      <c r="S26" s="323"/>
      <c r="T26" s="323"/>
      <c r="U26" s="323"/>
      <c r="V26" s="323"/>
      <c r="W26" s="323"/>
      <c r="X26" s="323"/>
      <c r="Y26" s="323"/>
      <c r="Z26" s="323"/>
      <c r="AA26" s="323"/>
      <c r="AB26" s="323"/>
      <c r="AC26" s="323"/>
      <c r="AD26" s="323"/>
    </row>
    <row r="27" spans="1:30" ht="12.75" thickTop="1">
      <c r="A27" s="5"/>
      <c r="B27" s="9"/>
      <c r="C27" s="345"/>
      <c r="D27" s="335"/>
      <c r="E27" s="323"/>
      <c r="F27" s="323"/>
      <c r="G27" s="323"/>
      <c r="H27" s="97" t="s">
        <v>54</v>
      </c>
      <c r="I27" s="356"/>
      <c r="J27" s="370"/>
      <c r="K27" s="357"/>
      <c r="L27" s="371"/>
      <c r="M27" s="11"/>
      <c r="N27" s="11"/>
      <c r="O27" s="11"/>
      <c r="P27" s="323"/>
      <c r="Q27" s="323"/>
      <c r="R27" s="323"/>
      <c r="S27" s="323"/>
      <c r="T27" s="323"/>
      <c r="U27" s="323"/>
      <c r="V27" s="323"/>
      <c r="W27" s="323"/>
      <c r="X27" s="323"/>
      <c r="Y27" s="323"/>
      <c r="Z27" s="323"/>
      <c r="AA27" s="323"/>
      <c r="AB27" s="323"/>
      <c r="AC27" s="323"/>
      <c r="AD27" s="323"/>
    </row>
    <row r="28" spans="1:30" ht="12">
      <c r="A28" s="5"/>
      <c r="B28" s="9"/>
      <c r="C28" s="346"/>
      <c r="D28" s="336"/>
      <c r="E28" s="323"/>
      <c r="F28" s="323"/>
      <c r="G28" s="323"/>
      <c r="H28" s="372" t="s">
        <v>55</v>
      </c>
      <c r="I28" s="373"/>
      <c r="J28" s="249">
        <v>1725</v>
      </c>
      <c r="K28" s="249">
        <v>0</v>
      </c>
      <c r="L28" s="99">
        <f>J28+K28</f>
        <v>1725</v>
      </c>
      <c r="M28" s="11"/>
      <c r="N28" s="11"/>
      <c r="O28" s="11"/>
      <c r="P28" s="323"/>
      <c r="Q28" s="323"/>
      <c r="R28" s="323"/>
      <c r="S28" s="323"/>
      <c r="T28" s="323"/>
      <c r="U28" s="323"/>
      <c r="V28" s="323"/>
      <c r="W28" s="323"/>
      <c r="X28" s="323"/>
      <c r="Y28" s="323"/>
      <c r="Z28" s="323"/>
      <c r="AA28" s="323"/>
      <c r="AB28" s="323"/>
      <c r="AC28" s="323"/>
      <c r="AD28" s="323"/>
    </row>
    <row r="29" spans="1:30" ht="12">
      <c r="A29" s="5"/>
      <c r="B29" s="9"/>
      <c r="C29" s="346"/>
      <c r="D29" s="336"/>
      <c r="E29" s="323"/>
      <c r="F29" s="323"/>
      <c r="G29" s="323"/>
      <c r="H29" s="374" t="s">
        <v>56</v>
      </c>
      <c r="I29" s="375"/>
      <c r="J29" s="249">
        <v>1255</v>
      </c>
      <c r="K29" s="249">
        <f>470*(15000-L5)/7500</f>
        <v>-833.9210611015931</v>
      </c>
      <c r="L29" s="99">
        <f>J29+K29</f>
        <v>421.07893889840693</v>
      </c>
      <c r="M29" s="11"/>
      <c r="N29" s="11"/>
      <c r="O29" s="11"/>
      <c r="P29" s="323"/>
      <c r="Q29" s="323"/>
      <c r="R29" s="323"/>
      <c r="S29" s="323"/>
      <c r="T29" s="323"/>
      <c r="U29" s="323"/>
      <c r="V29" s="323"/>
      <c r="W29" s="323"/>
      <c r="X29" s="323"/>
      <c r="Y29" s="323"/>
      <c r="Z29" s="323"/>
      <c r="AA29" s="323"/>
      <c r="AB29" s="323"/>
      <c r="AC29" s="323"/>
      <c r="AD29" s="323"/>
    </row>
    <row r="30" spans="1:30" ht="12.75" thickBot="1">
      <c r="A30" s="5"/>
      <c r="B30" s="9"/>
      <c r="C30" s="347"/>
      <c r="D30" s="337"/>
      <c r="E30" s="323"/>
      <c r="F30" s="323"/>
      <c r="G30" s="323"/>
      <c r="H30" s="376" t="s">
        <v>57</v>
      </c>
      <c r="I30" s="377"/>
      <c r="J30" s="249">
        <v>1255</v>
      </c>
      <c r="K30" s="378">
        <f>ROUND((55000-L5)/40000,4)</f>
        <v>0.6673</v>
      </c>
      <c r="L30" s="99">
        <f>IF(K30&gt;1,J30,J30*K30)</f>
        <v>837.4615</v>
      </c>
      <c r="M30" s="11"/>
      <c r="N30" s="11"/>
      <c r="O30" s="11"/>
      <c r="P30" s="323"/>
      <c r="Q30" s="323"/>
      <c r="R30" s="323"/>
      <c r="S30" s="323"/>
      <c r="T30" s="323"/>
      <c r="U30" s="323"/>
      <c r="V30" s="323"/>
      <c r="W30" s="323"/>
      <c r="X30" s="323"/>
      <c r="Y30" s="323"/>
      <c r="Z30" s="323"/>
      <c r="AA30" s="323"/>
      <c r="AB30" s="323"/>
      <c r="AC30" s="323"/>
      <c r="AD30" s="323"/>
    </row>
    <row r="31" spans="1:30" ht="13.5" thickTop="1">
      <c r="A31" s="86" t="s">
        <v>68</v>
      </c>
      <c r="B31" s="87"/>
      <c r="C31" s="348"/>
      <c r="D31" s="352"/>
      <c r="E31" s="323"/>
      <c r="F31" s="323"/>
      <c r="G31" s="323"/>
      <c r="H31" s="100" t="s">
        <v>58</v>
      </c>
      <c r="I31" s="101"/>
      <c r="J31" s="102">
        <f>IF(L5&gt;J9,0,IF(L5&gt;J7,L30,IF(L5&gt;7500,L29,L28)))</f>
        <v>837.4615</v>
      </c>
      <c r="K31" s="11"/>
      <c r="L31" s="67"/>
      <c r="M31" s="11"/>
      <c r="N31" s="11"/>
      <c r="O31" s="11"/>
      <c r="P31" s="323"/>
      <c r="Q31" s="323"/>
      <c r="R31" s="323"/>
      <c r="S31" s="323"/>
      <c r="T31" s="323"/>
      <c r="U31" s="323"/>
      <c r="V31" s="323"/>
      <c r="W31" s="323"/>
      <c r="X31" s="323"/>
      <c r="Y31" s="323"/>
      <c r="Z31" s="323"/>
      <c r="AA31" s="323"/>
      <c r="AB31" s="323"/>
      <c r="AC31" s="323"/>
      <c r="AD31" s="323"/>
    </row>
    <row r="32" spans="1:30" ht="12.75">
      <c r="A32" s="89" t="s">
        <v>69</v>
      </c>
      <c r="B32" s="90"/>
      <c r="C32" s="269"/>
      <c r="D32" s="352"/>
      <c r="E32" s="323"/>
      <c r="F32" s="323"/>
      <c r="G32" s="323"/>
      <c r="H32" s="11"/>
      <c r="I32" s="11"/>
      <c r="J32" s="11"/>
      <c r="K32" s="11"/>
      <c r="L32" s="11"/>
      <c r="M32" s="11"/>
      <c r="N32" s="11"/>
      <c r="O32" s="11"/>
      <c r="P32" s="323"/>
      <c r="Q32" s="323"/>
      <c r="R32" s="323"/>
      <c r="S32" s="323"/>
      <c r="T32" s="323"/>
      <c r="U32" s="323"/>
      <c r="V32" s="323"/>
      <c r="W32" s="323"/>
      <c r="X32" s="323"/>
      <c r="Y32" s="323"/>
      <c r="Z32" s="323"/>
      <c r="AA32" s="323"/>
      <c r="AB32" s="323"/>
      <c r="AC32" s="323"/>
      <c r="AD32" s="323"/>
    </row>
    <row r="33" spans="1:30" ht="12">
      <c r="A33" s="92" t="s">
        <v>70</v>
      </c>
      <c r="B33" s="90"/>
      <c r="C33" s="269"/>
      <c r="D33" s="352"/>
      <c r="E33" s="323"/>
      <c r="F33" s="323"/>
      <c r="G33" s="323"/>
      <c r="H33" s="11"/>
      <c r="I33" s="11"/>
      <c r="J33" s="11"/>
      <c r="K33" s="11"/>
      <c r="L33" s="11"/>
      <c r="M33" s="11"/>
      <c r="N33" s="11"/>
      <c r="O33" s="11"/>
      <c r="P33" s="323"/>
      <c r="Q33" s="323"/>
      <c r="R33" s="323"/>
      <c r="S33" s="323"/>
      <c r="T33" s="323"/>
      <c r="U33" s="323"/>
      <c r="V33" s="323"/>
      <c r="W33" s="323"/>
      <c r="X33" s="323"/>
      <c r="Y33" s="323"/>
      <c r="Z33" s="323"/>
      <c r="AA33" s="323"/>
      <c r="AB33" s="323"/>
      <c r="AC33" s="323"/>
      <c r="AD33" s="323"/>
    </row>
    <row r="34" spans="1:30" ht="12.75">
      <c r="A34" s="92"/>
      <c r="B34" s="90"/>
      <c r="C34" s="269"/>
      <c r="D34" s="352"/>
      <c r="E34" s="323"/>
      <c r="F34" s="323"/>
      <c r="G34" s="323"/>
      <c r="H34" s="15" t="s">
        <v>301</v>
      </c>
      <c r="I34" s="11"/>
      <c r="J34" s="11"/>
      <c r="K34" s="11"/>
      <c r="L34" s="67"/>
      <c r="M34" s="11"/>
      <c r="N34" s="11"/>
      <c r="O34" s="11"/>
      <c r="P34" s="323"/>
      <c r="Q34" s="323"/>
      <c r="R34" s="323"/>
      <c r="S34" s="323"/>
      <c r="T34" s="323"/>
      <c r="U34" s="323"/>
      <c r="V34" s="323"/>
      <c r="W34" s="323"/>
      <c r="X34" s="323"/>
      <c r="Y34" s="323"/>
      <c r="Z34" s="323"/>
      <c r="AA34" s="323"/>
      <c r="AB34" s="323"/>
      <c r="AC34" s="323"/>
      <c r="AD34" s="323"/>
    </row>
    <row r="35" spans="1:30" ht="12">
      <c r="A35" s="92" t="s">
        <v>71</v>
      </c>
      <c r="B35" s="90"/>
      <c r="C35" s="269"/>
      <c r="D35" s="352"/>
      <c r="E35" s="323"/>
      <c r="F35" s="323"/>
      <c r="G35" s="323"/>
      <c r="H35" s="11"/>
      <c r="I35" s="11"/>
      <c r="J35" s="11"/>
      <c r="K35" s="11"/>
      <c r="L35" s="11"/>
      <c r="M35" s="11"/>
      <c r="N35" s="11"/>
      <c r="O35" s="11"/>
      <c r="P35" s="323"/>
      <c r="Q35" s="323"/>
      <c r="R35" s="323"/>
      <c r="S35" s="323"/>
      <c r="T35" s="323"/>
      <c r="U35" s="323"/>
      <c r="V35" s="323"/>
      <c r="W35" s="323"/>
      <c r="X35" s="323"/>
      <c r="Y35" s="323"/>
      <c r="Z35" s="323"/>
      <c r="AA35" s="323"/>
      <c r="AB35" s="323"/>
      <c r="AC35" s="323"/>
      <c r="AD35" s="323"/>
    </row>
    <row r="36" spans="1:30" ht="12.75">
      <c r="A36" s="92" t="s">
        <v>100</v>
      </c>
      <c r="B36" s="90"/>
      <c r="C36" s="354">
        <v>0</v>
      </c>
      <c r="D36" s="352"/>
      <c r="E36" s="323"/>
      <c r="F36" s="323"/>
      <c r="G36" s="323"/>
      <c r="H36" s="16" t="s">
        <v>59</v>
      </c>
      <c r="I36" s="11"/>
      <c r="J36" s="11"/>
      <c r="K36" s="11"/>
      <c r="L36" s="11"/>
      <c r="M36" s="11"/>
      <c r="N36" s="11"/>
      <c r="O36" s="11"/>
      <c r="P36" s="323"/>
      <c r="Q36" s="323"/>
      <c r="R36" s="323"/>
      <c r="S36" s="323"/>
      <c r="T36" s="323"/>
      <c r="U36" s="323"/>
      <c r="V36" s="323"/>
      <c r="W36" s="323"/>
      <c r="X36" s="323"/>
      <c r="Y36" s="323"/>
      <c r="Z36" s="323"/>
      <c r="AA36" s="323"/>
      <c r="AB36" s="323"/>
      <c r="AC36" s="323"/>
      <c r="AD36" s="323"/>
    </row>
    <row r="37" spans="1:30" ht="12">
      <c r="A37" s="92" t="s">
        <v>94</v>
      </c>
      <c r="B37" s="90"/>
      <c r="C37" s="354">
        <v>0</v>
      </c>
      <c r="D37" s="352"/>
      <c r="E37" s="323"/>
      <c r="F37" s="323"/>
      <c r="G37" s="323"/>
      <c r="H37" s="97" t="s">
        <v>302</v>
      </c>
      <c r="I37" s="98"/>
      <c r="J37" s="304">
        <f>B8</f>
        <v>1</v>
      </c>
      <c r="K37" s="11"/>
      <c r="L37" s="67"/>
      <c r="M37" s="11"/>
      <c r="N37" s="11"/>
      <c r="O37" s="11"/>
      <c r="P37" s="323"/>
      <c r="Q37" s="323"/>
      <c r="R37" s="323"/>
      <c r="S37" s="323"/>
      <c r="T37" s="323"/>
      <c r="U37" s="323"/>
      <c r="V37" s="323"/>
      <c r="W37" s="323"/>
      <c r="X37" s="323"/>
      <c r="Y37" s="323"/>
      <c r="Z37" s="323"/>
      <c r="AA37" s="323"/>
      <c r="AB37" s="323"/>
      <c r="AC37" s="323"/>
      <c r="AD37" s="323"/>
    </row>
    <row r="38" spans="1:30" ht="12">
      <c r="A38" s="92" t="s">
        <v>101</v>
      </c>
      <c r="B38" s="90"/>
      <c r="C38" s="354">
        <v>0</v>
      </c>
      <c r="D38" s="352"/>
      <c r="E38" s="323"/>
      <c r="F38" s="323"/>
      <c r="G38" s="323"/>
      <c r="H38" s="97" t="s">
        <v>72</v>
      </c>
      <c r="I38" s="98"/>
      <c r="J38" s="379">
        <f>B19</f>
        <v>0.5</v>
      </c>
      <c r="K38" s="11"/>
      <c r="L38" s="67"/>
      <c r="M38" s="11"/>
      <c r="N38" s="11"/>
      <c r="O38" s="11"/>
      <c r="P38" s="323"/>
      <c r="Q38" s="323"/>
      <c r="R38" s="323"/>
      <c r="S38" s="323"/>
      <c r="T38" s="323"/>
      <c r="U38" s="323"/>
      <c r="V38" s="323"/>
      <c r="W38" s="323"/>
      <c r="X38" s="323"/>
      <c r="Y38" s="323"/>
      <c r="Z38" s="323"/>
      <c r="AA38" s="323"/>
      <c r="AB38" s="323"/>
      <c r="AC38" s="323"/>
      <c r="AD38" s="323"/>
    </row>
    <row r="39" spans="1:30" ht="12.75">
      <c r="A39" s="92"/>
      <c r="B39" s="90"/>
      <c r="C39" s="350"/>
      <c r="D39" s="352"/>
      <c r="E39" s="323"/>
      <c r="F39" s="323"/>
      <c r="G39" s="323"/>
      <c r="H39" s="103" t="s">
        <v>73</v>
      </c>
      <c r="I39" s="380"/>
      <c r="J39" s="381">
        <f>J48</f>
        <v>0</v>
      </c>
      <c r="K39" s="381">
        <f>ROUND(J39/12,2)</f>
        <v>0</v>
      </c>
      <c r="L39" s="67"/>
      <c r="M39" s="11"/>
      <c r="N39" s="11"/>
      <c r="O39" s="11"/>
      <c r="P39" s="323"/>
      <c r="Q39" s="323"/>
      <c r="R39" s="323"/>
      <c r="S39" s="323"/>
      <c r="T39" s="323"/>
      <c r="U39" s="323"/>
      <c r="V39" s="323"/>
      <c r="W39" s="323"/>
      <c r="X39" s="323"/>
      <c r="Y39" s="323"/>
      <c r="Z39" s="323"/>
      <c r="AA39" s="323"/>
      <c r="AB39" s="323"/>
      <c r="AC39" s="323"/>
      <c r="AD39" s="323"/>
    </row>
    <row r="40" spans="1:30" ht="12.75">
      <c r="A40" s="92" t="s">
        <v>67</v>
      </c>
      <c r="B40" s="90"/>
      <c r="C40" s="354">
        <v>0</v>
      </c>
      <c r="D40" s="352"/>
      <c r="E40" s="323"/>
      <c r="F40" s="323"/>
      <c r="G40" s="323"/>
      <c r="H40" s="103" t="s">
        <v>74</v>
      </c>
      <c r="I40" s="380"/>
      <c r="J40" s="381">
        <f>(J61+J85+J91)*J38</f>
        <v>0</v>
      </c>
      <c r="K40" s="381">
        <f>ROUND(J40/12,2)</f>
        <v>0</v>
      </c>
      <c r="L40" s="67"/>
      <c r="M40" s="11"/>
      <c r="N40" s="11"/>
      <c r="O40" s="11"/>
      <c r="P40" s="323"/>
      <c r="Q40" s="323"/>
      <c r="R40" s="323"/>
      <c r="S40" s="323"/>
      <c r="T40" s="323"/>
      <c r="U40" s="323"/>
      <c r="V40" s="323"/>
      <c r="W40" s="323"/>
      <c r="X40" s="323"/>
      <c r="Y40" s="323"/>
      <c r="Z40" s="323"/>
      <c r="AA40" s="323"/>
      <c r="AB40" s="323"/>
      <c r="AC40" s="323"/>
      <c r="AD40" s="323"/>
    </row>
    <row r="41" spans="1:30" ht="12.75">
      <c r="A41" s="89"/>
      <c r="B41" s="90"/>
      <c r="C41" s="269"/>
      <c r="D41" s="352"/>
      <c r="E41" s="323"/>
      <c r="F41" s="323"/>
      <c r="G41" s="323"/>
      <c r="H41" s="103" t="s">
        <v>75</v>
      </c>
      <c r="I41" s="380"/>
      <c r="J41" s="381">
        <f>J66*J38</f>
        <v>0</v>
      </c>
      <c r="K41" s="381">
        <f>ROUND(J41/12,2)</f>
        <v>0</v>
      </c>
      <c r="L41" s="67"/>
      <c r="M41" s="11"/>
      <c r="N41" s="11"/>
      <c r="O41" s="11"/>
      <c r="P41" s="323"/>
      <c r="Q41" s="323"/>
      <c r="R41" s="323"/>
      <c r="S41" s="323"/>
      <c r="T41" s="323"/>
      <c r="U41" s="323"/>
      <c r="V41" s="323"/>
      <c r="W41" s="323"/>
      <c r="X41" s="323"/>
      <c r="Y41" s="323"/>
      <c r="Z41" s="323"/>
      <c r="AA41" s="323"/>
      <c r="AB41" s="323"/>
      <c r="AC41" s="323"/>
      <c r="AD41" s="323"/>
    </row>
    <row r="42" spans="1:30" ht="12">
      <c r="A42" s="92"/>
      <c r="B42" s="90"/>
      <c r="C42" s="269"/>
      <c r="D42" s="352"/>
      <c r="E42" s="323"/>
      <c r="F42" s="323"/>
      <c r="G42" s="323"/>
      <c r="H42" s="11"/>
      <c r="I42" s="11"/>
      <c r="J42" s="11"/>
      <c r="K42" s="11"/>
      <c r="L42" s="67"/>
      <c r="M42" s="11"/>
      <c r="N42" s="11"/>
      <c r="O42" s="11"/>
      <c r="P42" s="323"/>
      <c r="Q42" s="323"/>
      <c r="R42" s="323"/>
      <c r="S42" s="323"/>
      <c r="T42" s="323"/>
      <c r="U42" s="323"/>
      <c r="V42" s="323"/>
      <c r="W42" s="323"/>
      <c r="X42" s="323"/>
      <c r="Y42" s="323"/>
      <c r="Z42" s="323"/>
      <c r="AA42" s="323"/>
      <c r="AB42" s="323"/>
      <c r="AC42" s="323"/>
      <c r="AD42" s="323"/>
    </row>
    <row r="43" spans="1:30" ht="12.75">
      <c r="A43" s="92" t="s">
        <v>88</v>
      </c>
      <c r="B43" s="341" t="s">
        <v>282</v>
      </c>
      <c r="C43" s="90"/>
      <c r="D43" s="352"/>
      <c r="E43" s="323"/>
      <c r="F43" s="323"/>
      <c r="G43" s="323"/>
      <c r="H43" s="15" t="s">
        <v>123</v>
      </c>
      <c r="I43" s="11"/>
      <c r="J43" s="11"/>
      <c r="K43" s="11"/>
      <c r="L43" s="67"/>
      <c r="M43" s="11"/>
      <c r="N43" s="11" t="s">
        <v>76</v>
      </c>
      <c r="O43" s="11"/>
      <c r="P43" s="323"/>
      <c r="Q43" s="323"/>
      <c r="R43" s="323"/>
      <c r="S43" s="323"/>
      <c r="T43" s="323"/>
      <c r="U43" s="323"/>
      <c r="V43" s="323"/>
      <c r="W43" s="323"/>
      <c r="X43" s="323"/>
      <c r="Y43" s="323"/>
      <c r="Z43" s="323"/>
      <c r="AA43" s="323"/>
      <c r="AB43" s="323"/>
      <c r="AC43" s="323"/>
      <c r="AD43" s="323"/>
    </row>
    <row r="44" spans="1:30" ht="12">
      <c r="A44" s="92"/>
      <c r="B44" s="90"/>
      <c r="C44" s="269"/>
      <c r="D44" s="352"/>
      <c r="E44" s="323"/>
      <c r="F44" s="323"/>
      <c r="G44" s="323"/>
      <c r="H44" s="97" t="s">
        <v>77</v>
      </c>
      <c r="I44" s="356"/>
      <c r="J44" s="370"/>
      <c r="K44" s="357"/>
      <c r="L44" s="360">
        <f>IF(B17="SI",1,0)</f>
        <v>0</v>
      </c>
      <c r="M44" s="11"/>
      <c r="N44" s="272">
        <f>IF(L5&gt;35200,0,IF(L5&gt;35100,10,IF(L5&gt;35000,20,IF(L5&gt;34700,30,IF(L5&gt;29200,20,IF(L5&gt;29000,10,0))))))</f>
        <v>0</v>
      </c>
      <c r="O44" s="11"/>
      <c r="P44" s="323"/>
      <c r="Q44" s="323"/>
      <c r="R44" s="323"/>
      <c r="S44" s="323"/>
      <c r="T44" s="323"/>
      <c r="U44" s="323"/>
      <c r="V44" s="323"/>
      <c r="W44" s="323"/>
      <c r="X44" s="323"/>
      <c r="Y44" s="323"/>
      <c r="Z44" s="323"/>
      <c r="AA44" s="323"/>
      <c r="AB44" s="323"/>
      <c r="AC44" s="323"/>
      <c r="AD44" s="323"/>
    </row>
    <row r="45" spans="1:30" ht="12">
      <c r="A45" s="92"/>
      <c r="B45" s="90"/>
      <c r="C45" s="269"/>
      <c r="D45" s="352"/>
      <c r="E45" s="323"/>
      <c r="F45" s="323"/>
      <c r="G45" s="323"/>
      <c r="H45" s="372" t="s">
        <v>56</v>
      </c>
      <c r="I45" s="373"/>
      <c r="J45" s="249">
        <v>800</v>
      </c>
      <c r="K45" s="249">
        <f>110*L5/15000</f>
        <v>207.5865071501864</v>
      </c>
      <c r="L45" s="99">
        <f>J45-K45</f>
        <v>592.4134928498136</v>
      </c>
      <c r="M45" s="11"/>
      <c r="N45" s="11"/>
      <c r="O45" s="11"/>
      <c r="P45" s="323"/>
      <c r="Q45" s="323"/>
      <c r="R45" s="323"/>
      <c r="S45" s="323"/>
      <c r="T45" s="323"/>
      <c r="U45" s="323"/>
      <c r="V45" s="323"/>
      <c r="W45" s="323"/>
      <c r="X45" s="323"/>
      <c r="Y45" s="323"/>
      <c r="Z45" s="323"/>
      <c r="AA45" s="323"/>
      <c r="AB45" s="323"/>
      <c r="AC45" s="323"/>
      <c r="AD45" s="323"/>
    </row>
    <row r="46" spans="1:30" ht="12">
      <c r="A46" s="92"/>
      <c r="B46" s="90"/>
      <c r="C46" s="269"/>
      <c r="D46" s="352"/>
      <c r="E46" s="323"/>
      <c r="F46" s="323"/>
      <c r="G46" s="323"/>
      <c r="H46" s="374" t="s">
        <v>78</v>
      </c>
      <c r="I46" s="375"/>
      <c r="J46" s="249">
        <v>690</v>
      </c>
      <c r="K46" s="249">
        <v>0</v>
      </c>
      <c r="L46" s="99">
        <f>J46+N44</f>
        <v>690</v>
      </c>
      <c r="M46" s="11"/>
      <c r="N46" s="11"/>
      <c r="O46" s="11"/>
      <c r="P46" s="323"/>
      <c r="Q46" s="323"/>
      <c r="R46" s="323"/>
      <c r="S46" s="323"/>
      <c r="T46" s="323"/>
      <c r="U46" s="323"/>
      <c r="V46" s="323"/>
      <c r="W46" s="323"/>
      <c r="X46" s="323"/>
      <c r="Y46" s="323"/>
      <c r="Z46" s="323"/>
      <c r="AA46" s="323"/>
      <c r="AB46" s="323"/>
      <c r="AC46" s="323"/>
      <c r="AD46" s="323"/>
    </row>
    <row r="47" spans="1:30" ht="12">
      <c r="A47" s="92" t="s">
        <v>89</v>
      </c>
      <c r="B47" s="341" t="s">
        <v>282</v>
      </c>
      <c r="C47" s="269"/>
      <c r="D47" s="352"/>
      <c r="E47" s="323"/>
      <c r="F47" s="323"/>
      <c r="G47" s="323"/>
      <c r="H47" s="376" t="s">
        <v>79</v>
      </c>
      <c r="I47" s="377"/>
      <c r="J47" s="382">
        <f>690</f>
        <v>690</v>
      </c>
      <c r="K47" s="378">
        <f>ROUND((80000-L5)/40000,4)</f>
        <v>1.2923</v>
      </c>
      <c r="L47" s="99">
        <f>IF(K47&gt;1,J47,J47*K47)</f>
        <v>690</v>
      </c>
      <c r="M47" s="11"/>
      <c r="N47" s="11"/>
      <c r="O47" s="11"/>
      <c r="P47" s="323"/>
      <c r="Q47" s="323"/>
      <c r="R47" s="323"/>
      <c r="S47" s="323"/>
      <c r="T47" s="323"/>
      <c r="U47" s="323"/>
      <c r="V47" s="323"/>
      <c r="W47" s="323"/>
      <c r="X47" s="323"/>
      <c r="Y47" s="323"/>
      <c r="Z47" s="323"/>
      <c r="AA47" s="323"/>
      <c r="AB47" s="323"/>
      <c r="AC47" s="323"/>
      <c r="AD47" s="323"/>
    </row>
    <row r="48" spans="1:30" ht="12.75">
      <c r="A48" s="92"/>
      <c r="B48" s="90"/>
      <c r="C48" s="269"/>
      <c r="D48" s="352"/>
      <c r="E48" s="323"/>
      <c r="F48" s="323"/>
      <c r="G48" s="323"/>
      <c r="H48" s="100" t="s">
        <v>58</v>
      </c>
      <c r="I48" s="101"/>
      <c r="J48" s="102">
        <f>K48*L44</f>
        <v>0</v>
      </c>
      <c r="K48" s="383">
        <f>IF(L5&gt;80000,0,IF(L5&gt;40000,L47,IF(L5&gt;15000,L46,L45)))</f>
        <v>690</v>
      </c>
      <c r="L48" s="102">
        <f>J48/12</f>
        <v>0</v>
      </c>
      <c r="M48" s="45"/>
      <c r="N48" s="11"/>
      <c r="O48" s="11"/>
      <c r="P48" s="323"/>
      <c r="Q48" s="323"/>
      <c r="R48" s="323"/>
      <c r="S48" s="323"/>
      <c r="T48" s="323"/>
      <c r="U48" s="323"/>
      <c r="V48" s="323"/>
      <c r="W48" s="323"/>
      <c r="X48" s="323"/>
      <c r="Y48" s="323"/>
      <c r="Z48" s="323"/>
      <c r="AA48" s="323"/>
      <c r="AB48" s="323"/>
      <c r="AC48" s="323"/>
      <c r="AD48" s="323"/>
    </row>
    <row r="49" spans="1:30" ht="12">
      <c r="A49" s="92"/>
      <c r="B49" s="90"/>
      <c r="C49" s="269"/>
      <c r="D49" s="352"/>
      <c r="E49" s="323"/>
      <c r="F49" s="323"/>
      <c r="G49" s="323"/>
      <c r="H49" s="11"/>
      <c r="I49" s="11"/>
      <c r="J49" s="11"/>
      <c r="K49" s="11"/>
      <c r="L49" s="67"/>
      <c r="M49" s="269"/>
      <c r="N49" s="384"/>
      <c r="O49" s="11"/>
      <c r="P49" s="323"/>
      <c r="Q49" s="323"/>
      <c r="R49" s="323"/>
      <c r="S49" s="323"/>
      <c r="T49" s="323"/>
      <c r="U49" s="323"/>
      <c r="V49" s="323"/>
      <c r="W49" s="323"/>
      <c r="X49" s="323"/>
      <c r="Y49" s="323"/>
      <c r="Z49" s="323"/>
      <c r="AA49" s="323"/>
      <c r="AB49" s="323"/>
      <c r="AC49" s="323"/>
      <c r="AD49" s="323"/>
    </row>
    <row r="50" spans="1:30" ht="12.75" thickBot="1">
      <c r="A50" s="93"/>
      <c r="B50" s="94"/>
      <c r="C50" s="344"/>
      <c r="D50" s="353"/>
      <c r="E50" s="323"/>
      <c r="F50" s="323"/>
      <c r="G50" s="323"/>
      <c r="H50" s="11"/>
      <c r="I50" s="11"/>
      <c r="J50" s="67"/>
      <c r="K50" s="11"/>
      <c r="L50" s="67"/>
      <c r="M50" s="269"/>
      <c r="N50" s="269"/>
      <c r="O50" s="11"/>
      <c r="P50" s="323"/>
      <c r="Q50" s="323"/>
      <c r="R50" s="323"/>
      <c r="S50" s="323"/>
      <c r="T50" s="323"/>
      <c r="U50" s="323"/>
      <c r="V50" s="323"/>
      <c r="W50" s="323"/>
      <c r="X50" s="323"/>
      <c r="Y50" s="323"/>
      <c r="Z50" s="323"/>
      <c r="AA50" s="323"/>
      <c r="AB50" s="323"/>
      <c r="AC50" s="323"/>
      <c r="AD50" s="323"/>
    </row>
    <row r="51" spans="1:30" ht="12.75" thickTop="1">
      <c r="A51" s="323"/>
      <c r="B51" s="323"/>
      <c r="C51" s="323"/>
      <c r="D51" s="323"/>
      <c r="E51" s="323"/>
      <c r="F51" s="323"/>
      <c r="G51" s="323"/>
      <c r="H51" s="97" t="s">
        <v>64</v>
      </c>
      <c r="I51" s="98"/>
      <c r="J51" s="385">
        <f>IF(J37=1,C21,0)</f>
        <v>0</v>
      </c>
      <c r="K51" s="11"/>
      <c r="L51" s="67"/>
      <c r="M51" s="269"/>
      <c r="N51" s="269"/>
      <c r="O51" s="11"/>
      <c r="P51" s="323"/>
      <c r="Q51" s="323"/>
      <c r="R51" s="323"/>
      <c r="S51" s="323"/>
      <c r="T51" s="323"/>
      <c r="U51" s="323"/>
      <c r="V51" s="323"/>
      <c r="W51" s="323"/>
      <c r="X51" s="323"/>
      <c r="Y51" s="323"/>
      <c r="Z51" s="323"/>
      <c r="AA51" s="323"/>
      <c r="AB51" s="323"/>
      <c r="AC51" s="323"/>
      <c r="AD51" s="323"/>
    </row>
    <row r="52" spans="1:30" ht="12">
      <c r="A52" s="323"/>
      <c r="B52" s="323"/>
      <c r="C52" s="323"/>
      <c r="D52" s="323"/>
      <c r="E52" s="323"/>
      <c r="F52" s="323"/>
      <c r="G52" s="323"/>
      <c r="H52" s="97" t="s">
        <v>80</v>
      </c>
      <c r="I52" s="98"/>
      <c r="J52" s="385">
        <f>IF(J37=1,C22,0)</f>
        <v>0</v>
      </c>
      <c r="K52" s="11"/>
      <c r="L52" s="269"/>
      <c r="M52" s="269"/>
      <c r="N52" s="269"/>
      <c r="O52" s="11"/>
      <c r="P52" s="323"/>
      <c r="Q52" s="323"/>
      <c r="R52" s="323"/>
      <c r="S52" s="323"/>
      <c r="T52" s="323"/>
      <c r="U52" s="323"/>
      <c r="V52" s="323"/>
      <c r="W52" s="323"/>
      <c r="X52" s="323"/>
      <c r="Y52" s="323"/>
      <c r="Z52" s="323"/>
      <c r="AA52" s="323"/>
      <c r="AB52" s="323"/>
      <c r="AC52" s="323"/>
      <c r="AD52" s="323"/>
    </row>
    <row r="53" spans="1:30" ht="12">
      <c r="A53" s="323"/>
      <c r="B53" s="323"/>
      <c r="C53" s="323"/>
      <c r="D53" s="323"/>
      <c r="E53" s="323"/>
      <c r="F53" s="323"/>
      <c r="G53" s="323"/>
      <c r="H53" s="97" t="s">
        <v>81</v>
      </c>
      <c r="I53" s="98"/>
      <c r="J53" s="385">
        <f>IF(J37=1,C23,0)</f>
        <v>0</v>
      </c>
      <c r="K53" s="11"/>
      <c r="L53" s="386"/>
      <c r="M53" s="11"/>
      <c r="N53" s="11"/>
      <c r="O53" s="11"/>
      <c r="P53" s="323"/>
      <c r="Q53" s="323"/>
      <c r="R53" s="323"/>
      <c r="S53" s="323"/>
      <c r="T53" s="323"/>
      <c r="U53" s="323"/>
      <c r="V53" s="323"/>
      <c r="W53" s="323"/>
      <c r="X53" s="323"/>
      <c r="Y53" s="323"/>
      <c r="Z53" s="323"/>
      <c r="AA53" s="323"/>
      <c r="AB53" s="323"/>
      <c r="AC53" s="323"/>
      <c r="AD53" s="323"/>
    </row>
    <row r="54" spans="1:30" ht="12">
      <c r="A54" s="323"/>
      <c r="B54" s="323"/>
      <c r="C54" s="323"/>
      <c r="D54" s="323"/>
      <c r="E54" s="323"/>
      <c r="F54" s="323"/>
      <c r="G54" s="323"/>
      <c r="H54" s="97" t="s">
        <v>82</v>
      </c>
      <c r="I54" s="98"/>
      <c r="J54" s="385">
        <f>IF(J37=1,C25,0)</f>
        <v>0</v>
      </c>
      <c r="K54" s="269"/>
      <c r="L54" s="269"/>
      <c r="M54" s="11"/>
      <c r="N54" s="11"/>
      <c r="O54" s="11"/>
      <c r="P54" s="323"/>
      <c r="Q54" s="323"/>
      <c r="R54" s="323"/>
      <c r="S54" s="323"/>
      <c r="T54" s="323"/>
      <c r="U54" s="323"/>
      <c r="V54" s="323"/>
      <c r="W54" s="323"/>
      <c r="X54" s="323"/>
      <c r="Y54" s="323"/>
      <c r="Z54" s="323"/>
      <c r="AA54" s="323"/>
      <c r="AB54" s="323"/>
      <c r="AC54" s="323"/>
      <c r="AD54" s="323"/>
    </row>
    <row r="55" spans="1:30" ht="12">
      <c r="A55" s="323"/>
      <c r="B55" s="323"/>
      <c r="C55" s="323"/>
      <c r="D55" s="323"/>
      <c r="E55" s="323"/>
      <c r="F55" s="323"/>
      <c r="G55" s="323"/>
      <c r="H55" s="11"/>
      <c r="I55" s="11"/>
      <c r="J55" s="11"/>
      <c r="K55" s="11"/>
      <c r="L55" s="11"/>
      <c r="M55" s="11"/>
      <c r="N55" s="11"/>
      <c r="O55" s="11"/>
      <c r="P55" s="323"/>
      <c r="Q55" s="323"/>
      <c r="R55" s="323"/>
      <c r="S55" s="323"/>
      <c r="T55" s="323"/>
      <c r="U55" s="323"/>
      <c r="V55" s="323"/>
      <c r="W55" s="323"/>
      <c r="X55" s="323"/>
      <c r="Y55" s="323"/>
      <c r="Z55" s="323"/>
      <c r="AA55" s="323"/>
      <c r="AB55" s="323"/>
      <c r="AC55" s="323"/>
      <c r="AD55" s="323"/>
    </row>
    <row r="56" spans="1:30" ht="12">
      <c r="A56" s="323"/>
      <c r="B56" s="323"/>
      <c r="C56" s="323"/>
      <c r="D56" s="323"/>
      <c r="E56" s="323"/>
      <c r="F56" s="323"/>
      <c r="G56" s="323"/>
      <c r="H56" s="11"/>
      <c r="I56" s="11"/>
      <c r="J56" s="11"/>
      <c r="K56" s="11"/>
      <c r="L56" s="11"/>
      <c r="M56" s="11"/>
      <c r="N56" s="11"/>
      <c r="O56" s="11"/>
      <c r="P56" s="323"/>
      <c r="Q56" s="323"/>
      <c r="R56" s="323"/>
      <c r="S56" s="323"/>
      <c r="T56" s="323"/>
      <c r="U56" s="323"/>
      <c r="V56" s="323"/>
      <c r="W56" s="323"/>
      <c r="X56" s="323"/>
      <c r="Y56" s="323"/>
      <c r="Z56" s="323"/>
      <c r="AA56" s="323"/>
      <c r="AB56" s="323"/>
      <c r="AC56" s="323"/>
      <c r="AD56" s="323"/>
    </row>
    <row r="57" spans="1:30" ht="12">
      <c r="A57" s="323"/>
      <c r="B57" s="323"/>
      <c r="C57" s="323"/>
      <c r="D57" s="323"/>
      <c r="E57" s="323"/>
      <c r="F57" s="323"/>
      <c r="G57" s="323"/>
      <c r="H57" s="97" t="s">
        <v>74</v>
      </c>
      <c r="I57" s="356"/>
      <c r="J57" s="370"/>
      <c r="K57" s="254"/>
      <c r="L57" s="360">
        <f>IF(J37=1,1,0)</f>
        <v>1</v>
      </c>
      <c r="M57" s="11"/>
      <c r="N57" s="11"/>
      <c r="O57" s="11"/>
      <c r="P57" s="323"/>
      <c r="Q57" s="323"/>
      <c r="R57" s="323"/>
      <c r="S57" s="323"/>
      <c r="T57" s="323"/>
      <c r="U57" s="323"/>
      <c r="V57" s="323"/>
      <c r="W57" s="323"/>
      <c r="X57" s="323"/>
      <c r="Y57" s="323"/>
      <c r="Z57" s="323"/>
      <c r="AA57" s="323"/>
      <c r="AB57" s="323"/>
      <c r="AC57" s="323"/>
      <c r="AD57" s="323"/>
    </row>
    <row r="58" spans="1:30" ht="12">
      <c r="A58" s="323"/>
      <c r="B58" s="323"/>
      <c r="C58" s="323"/>
      <c r="D58" s="323"/>
      <c r="E58" s="323"/>
      <c r="F58" s="323"/>
      <c r="G58" s="323"/>
      <c r="H58" s="372" t="s">
        <v>83</v>
      </c>
      <c r="I58" s="373"/>
      <c r="J58" s="249">
        <v>95000</v>
      </c>
      <c r="K58" s="249">
        <f>IF(J51&gt;1,(J51-1)*15000,0)</f>
        <v>0</v>
      </c>
      <c r="L58" s="99">
        <f>J58+K58</f>
        <v>95000</v>
      </c>
      <c r="M58" s="11"/>
      <c r="N58" s="11"/>
      <c r="O58" s="11"/>
      <c r="P58" s="323"/>
      <c r="Q58" s="323"/>
      <c r="R58" s="323"/>
      <c r="S58" s="323"/>
      <c r="T58" s="323"/>
      <c r="U58" s="323"/>
      <c r="V58" s="323"/>
      <c r="W58" s="323"/>
      <c r="X58" s="323"/>
      <c r="Y58" s="323"/>
      <c r="Z58" s="323"/>
      <c r="AA58" s="323"/>
      <c r="AB58" s="323"/>
      <c r="AC58" s="323"/>
      <c r="AD58" s="323"/>
    </row>
    <row r="59" spans="1:30" ht="12">
      <c r="A59" s="323"/>
      <c r="B59" s="323"/>
      <c r="C59" s="323"/>
      <c r="D59" s="323"/>
      <c r="E59" s="323"/>
      <c r="F59" s="323"/>
      <c r="G59" s="323"/>
      <c r="H59" s="374" t="s">
        <v>84</v>
      </c>
      <c r="I59" s="375"/>
      <c r="J59" s="249">
        <f>IF(J52=0,0,100*J52)</f>
        <v>0</v>
      </c>
      <c r="K59" s="249">
        <f>220*J53</f>
        <v>0</v>
      </c>
      <c r="L59" s="99">
        <f>IF(J51&gt;3,J51*200,0)</f>
        <v>0</v>
      </c>
      <c r="M59" s="11"/>
      <c r="N59" s="11"/>
      <c r="O59" s="11"/>
      <c r="P59" s="323"/>
      <c r="Q59" s="323"/>
      <c r="R59" s="323"/>
      <c r="S59" s="323"/>
      <c r="T59" s="323"/>
      <c r="U59" s="323"/>
      <c r="V59" s="323"/>
      <c r="W59" s="323"/>
      <c r="X59" s="323"/>
      <c r="Y59" s="323"/>
      <c r="Z59" s="323"/>
      <c r="AA59" s="323"/>
      <c r="AB59" s="323"/>
      <c r="AC59" s="323"/>
      <c r="AD59" s="323"/>
    </row>
    <row r="60" spans="1:30" ht="12">
      <c r="A60" s="323"/>
      <c r="B60" s="323"/>
      <c r="C60" s="323"/>
      <c r="D60" s="323"/>
      <c r="E60" s="323"/>
      <c r="F60" s="323"/>
      <c r="G60" s="323"/>
      <c r="H60" s="376" t="s">
        <v>85</v>
      </c>
      <c r="I60" s="377"/>
      <c r="J60" s="249">
        <f>800*J51+J59+K59+L59</f>
        <v>0</v>
      </c>
      <c r="K60" s="378">
        <f>ROUND((L58-L5)/L58,4)</f>
        <v>0.702</v>
      </c>
      <c r="L60" s="99">
        <f>IF(K60&gt;1,J60,J60*K60)</f>
        <v>0</v>
      </c>
      <c r="M60" s="11"/>
      <c r="N60" s="11"/>
      <c r="O60" s="11"/>
      <c r="P60" s="323"/>
      <c r="Q60" s="323"/>
      <c r="R60" s="323"/>
      <c r="S60" s="323"/>
      <c r="T60" s="323"/>
      <c r="U60" s="323"/>
      <c r="V60" s="323"/>
      <c r="W60" s="323"/>
      <c r="X60" s="323"/>
      <c r="Y60" s="323"/>
      <c r="Z60" s="323"/>
      <c r="AA60" s="323"/>
      <c r="AB60" s="323"/>
      <c r="AC60" s="323"/>
      <c r="AD60" s="323"/>
    </row>
    <row r="61" spans="1:30" ht="12.75">
      <c r="A61" s="323"/>
      <c r="B61" s="323"/>
      <c r="C61" s="323"/>
      <c r="D61" s="323"/>
      <c r="E61" s="323"/>
      <c r="F61" s="323"/>
      <c r="G61" s="323"/>
      <c r="H61" s="100" t="s">
        <v>58</v>
      </c>
      <c r="I61" s="101"/>
      <c r="J61" s="102">
        <f>K61*L57</f>
        <v>0</v>
      </c>
      <c r="K61" s="383">
        <f>IF(L5&gt;L58,0,L60)</f>
        <v>0</v>
      </c>
      <c r="L61" s="102">
        <f>J61/12</f>
        <v>0</v>
      </c>
      <c r="M61" s="11"/>
      <c r="N61" s="11"/>
      <c r="O61" s="11"/>
      <c r="P61" s="323"/>
      <c r="Q61" s="323"/>
      <c r="R61" s="323"/>
      <c r="S61" s="323"/>
      <c r="T61" s="323"/>
      <c r="U61" s="323"/>
      <c r="V61" s="323"/>
      <c r="W61" s="323"/>
      <c r="X61" s="323"/>
      <c r="Y61" s="323"/>
      <c r="Z61" s="323"/>
      <c r="AA61" s="323"/>
      <c r="AB61" s="323"/>
      <c r="AC61" s="323"/>
      <c r="AD61" s="323"/>
    </row>
    <row r="62" spans="1:30" ht="12">
      <c r="A62" s="323"/>
      <c r="B62" s="323"/>
      <c r="C62" s="323"/>
      <c r="D62" s="323"/>
      <c r="E62" s="323"/>
      <c r="F62" s="323"/>
      <c r="G62" s="323"/>
      <c r="H62" s="11"/>
      <c r="I62" s="11"/>
      <c r="J62" s="11"/>
      <c r="K62" s="11"/>
      <c r="L62" s="11"/>
      <c r="M62" s="11"/>
      <c r="N62" s="11"/>
      <c r="O62" s="11"/>
      <c r="P62" s="323"/>
      <c r="Q62" s="323"/>
      <c r="R62" s="323"/>
      <c r="S62" s="323"/>
      <c r="T62" s="323"/>
      <c r="U62" s="323"/>
      <c r="V62" s="323"/>
      <c r="W62" s="323"/>
      <c r="X62" s="323"/>
      <c r="Y62" s="323"/>
      <c r="Z62" s="323"/>
      <c r="AA62" s="323"/>
      <c r="AB62" s="323"/>
      <c r="AC62" s="323"/>
      <c r="AD62" s="323"/>
    </row>
    <row r="63" spans="1:30" ht="12">
      <c r="A63" s="323"/>
      <c r="B63" s="323"/>
      <c r="C63" s="323"/>
      <c r="D63" s="323"/>
      <c r="E63" s="323"/>
      <c r="F63" s="323"/>
      <c r="G63" s="323"/>
      <c r="H63" s="11"/>
      <c r="I63" s="11"/>
      <c r="J63" s="11"/>
      <c r="K63" s="11"/>
      <c r="L63" s="11"/>
      <c r="M63" s="11"/>
      <c r="N63" s="11"/>
      <c r="O63" s="11"/>
      <c r="P63" s="323"/>
      <c r="Q63" s="323"/>
      <c r="R63" s="323"/>
      <c r="S63" s="323"/>
      <c r="T63" s="323"/>
      <c r="U63" s="323"/>
      <c r="V63" s="323"/>
      <c r="W63" s="323"/>
      <c r="X63" s="323"/>
      <c r="Y63" s="323"/>
      <c r="Z63" s="323"/>
      <c r="AA63" s="323"/>
      <c r="AB63" s="323"/>
      <c r="AC63" s="323"/>
      <c r="AD63" s="323"/>
    </row>
    <row r="64" spans="1:30" ht="12">
      <c r="A64" s="323"/>
      <c r="B64" s="323"/>
      <c r="C64" s="323"/>
      <c r="D64" s="323"/>
      <c r="E64" s="323"/>
      <c r="F64" s="323"/>
      <c r="G64" s="323"/>
      <c r="H64" s="97" t="s">
        <v>86</v>
      </c>
      <c r="I64" s="356"/>
      <c r="J64" s="370"/>
      <c r="K64" s="357"/>
      <c r="L64" s="358"/>
      <c r="M64" s="11"/>
      <c r="N64" s="11"/>
      <c r="O64" s="11"/>
      <c r="P64" s="323"/>
      <c r="Q64" s="323"/>
      <c r="R64" s="323"/>
      <c r="S64" s="323"/>
      <c r="T64" s="323"/>
      <c r="U64" s="323"/>
      <c r="V64" s="323"/>
      <c r="W64" s="323"/>
      <c r="X64" s="323"/>
      <c r="Y64" s="323"/>
      <c r="Z64" s="323"/>
      <c r="AA64" s="323"/>
      <c r="AB64" s="323"/>
      <c r="AC64" s="323"/>
      <c r="AD64" s="323"/>
    </row>
    <row r="65" spans="1:30" ht="12">
      <c r="A65" s="323"/>
      <c r="B65" s="323"/>
      <c r="C65" s="323"/>
      <c r="D65" s="323"/>
      <c r="E65" s="323"/>
      <c r="F65" s="323"/>
      <c r="G65" s="323"/>
      <c r="H65" s="374" t="s">
        <v>79</v>
      </c>
      <c r="I65" s="375"/>
      <c r="J65" s="249">
        <v>750</v>
      </c>
      <c r="K65" s="378">
        <f>ROUND((80000-L5)/80000,4)</f>
        <v>0.6462</v>
      </c>
      <c r="L65" s="99">
        <f>IF(K65&gt;1,J65,J65*K65)</f>
        <v>484.65</v>
      </c>
      <c r="M65" s="11"/>
      <c r="N65" s="11"/>
      <c r="O65" s="11"/>
      <c r="P65" s="323"/>
      <c r="Q65" s="323"/>
      <c r="R65" s="323"/>
      <c r="S65" s="323"/>
      <c r="T65" s="323"/>
      <c r="U65" s="323"/>
      <c r="V65" s="323"/>
      <c r="W65" s="323"/>
      <c r="X65" s="323"/>
      <c r="Y65" s="323"/>
      <c r="Z65" s="323"/>
      <c r="AA65" s="323"/>
      <c r="AB65" s="323"/>
      <c r="AC65" s="323"/>
      <c r="AD65" s="323"/>
    </row>
    <row r="66" spans="1:30" ht="12.75">
      <c r="A66" s="323"/>
      <c r="B66" s="323"/>
      <c r="C66" s="323"/>
      <c r="D66" s="323"/>
      <c r="E66" s="323"/>
      <c r="F66" s="323"/>
      <c r="G66" s="323"/>
      <c r="H66" s="100" t="s">
        <v>58</v>
      </c>
      <c r="I66" s="101"/>
      <c r="J66" s="102">
        <f>K66*(J54+J77)</f>
        <v>0</v>
      </c>
      <c r="K66" s="383">
        <f>L65*(J54+J77)</f>
        <v>0</v>
      </c>
      <c r="L66" s="102">
        <f>J66/12</f>
        <v>0</v>
      </c>
      <c r="M66" s="11"/>
      <c r="N66" s="11"/>
      <c r="O66" s="11"/>
      <c r="P66" s="323"/>
      <c r="Q66" s="323"/>
      <c r="R66" s="323"/>
      <c r="S66" s="323"/>
      <c r="T66" s="323"/>
      <c r="U66" s="323"/>
      <c r="V66" s="323"/>
      <c r="W66" s="323"/>
      <c r="X66" s="323"/>
      <c r="Y66" s="323"/>
      <c r="Z66" s="323"/>
      <c r="AA66" s="323"/>
      <c r="AB66" s="323"/>
      <c r="AC66" s="323"/>
      <c r="AD66" s="323"/>
    </row>
    <row r="67" spans="1:30" ht="12">
      <c r="A67" s="323"/>
      <c r="B67" s="323"/>
      <c r="C67" s="323"/>
      <c r="D67" s="323"/>
      <c r="E67" s="323"/>
      <c r="F67" s="323"/>
      <c r="G67" s="323"/>
      <c r="H67" s="11"/>
      <c r="I67" s="11"/>
      <c r="J67" s="11"/>
      <c r="K67" s="11"/>
      <c r="L67" s="11"/>
      <c r="M67" s="11"/>
      <c r="N67" s="11"/>
      <c r="O67" s="11"/>
      <c r="P67" s="323"/>
      <c r="Q67" s="323"/>
      <c r="R67" s="323"/>
      <c r="S67" s="323"/>
      <c r="T67" s="323"/>
      <c r="U67" s="323"/>
      <c r="V67" s="323"/>
      <c r="W67" s="323"/>
      <c r="X67" s="323"/>
      <c r="Y67" s="323"/>
      <c r="Z67" s="323"/>
      <c r="AA67" s="323"/>
      <c r="AB67" s="323"/>
      <c r="AC67" s="323"/>
      <c r="AD67" s="323"/>
    </row>
    <row r="68" spans="1:30" ht="12">
      <c r="A68" s="323"/>
      <c r="B68" s="323"/>
      <c r="C68" s="323"/>
      <c r="D68" s="323"/>
      <c r="E68" s="323"/>
      <c r="F68" s="323"/>
      <c r="G68" s="323"/>
      <c r="H68" s="11"/>
      <c r="I68" s="11"/>
      <c r="J68" s="11"/>
      <c r="K68" s="11"/>
      <c r="L68" s="67"/>
      <c r="M68" s="11"/>
      <c r="N68" s="11"/>
      <c r="O68" s="11"/>
      <c r="P68" s="323"/>
      <c r="Q68" s="323"/>
      <c r="R68" s="323"/>
      <c r="S68" s="323"/>
      <c r="T68" s="323"/>
      <c r="U68" s="323"/>
      <c r="V68" s="323"/>
      <c r="W68" s="323"/>
      <c r="X68" s="323"/>
      <c r="Y68" s="323"/>
      <c r="Z68" s="323"/>
      <c r="AA68" s="323"/>
      <c r="AB68" s="323"/>
      <c r="AC68" s="323"/>
      <c r="AD68" s="323"/>
    </row>
    <row r="69" spans="1:30" ht="12">
      <c r="A69" s="323"/>
      <c r="B69" s="323"/>
      <c r="C69" s="323"/>
      <c r="D69" s="323"/>
      <c r="E69" s="323"/>
      <c r="F69" s="323"/>
      <c r="G69" s="323"/>
      <c r="H69" s="11"/>
      <c r="I69" s="11"/>
      <c r="J69" s="11"/>
      <c r="K69" s="11"/>
      <c r="L69" s="11"/>
      <c r="M69" s="11"/>
      <c r="N69" s="11"/>
      <c r="O69" s="11"/>
      <c r="P69" s="323"/>
      <c r="Q69" s="323"/>
      <c r="R69" s="323"/>
      <c r="S69" s="323"/>
      <c r="T69" s="323"/>
      <c r="U69" s="323"/>
      <c r="V69" s="323"/>
      <c r="W69" s="323"/>
      <c r="X69" s="323"/>
      <c r="Y69" s="323"/>
      <c r="Z69" s="323"/>
      <c r="AA69" s="323"/>
      <c r="AB69" s="323"/>
      <c r="AC69" s="323"/>
      <c r="AD69" s="323"/>
    </row>
    <row r="70" spans="1:30" ht="12.75">
      <c r="A70" s="323"/>
      <c r="B70" s="323"/>
      <c r="C70" s="323"/>
      <c r="D70" s="323"/>
      <c r="E70" s="323"/>
      <c r="F70" s="323"/>
      <c r="G70" s="323"/>
      <c r="H70" s="15"/>
      <c r="I70" s="11"/>
      <c r="J70" s="11"/>
      <c r="K70" s="11"/>
      <c r="L70" s="11"/>
      <c r="M70" s="11"/>
      <c r="N70" s="11"/>
      <c r="O70" s="11"/>
      <c r="P70" s="323"/>
      <c r="Q70" s="323"/>
      <c r="R70" s="323"/>
      <c r="S70" s="323"/>
      <c r="T70" s="323"/>
      <c r="U70" s="323"/>
      <c r="V70" s="323"/>
      <c r="W70" s="323"/>
      <c r="X70" s="323"/>
      <c r="Y70" s="323"/>
      <c r="Z70" s="323"/>
      <c r="AA70" s="323"/>
      <c r="AB70" s="323"/>
      <c r="AC70" s="323"/>
      <c r="AD70" s="323"/>
    </row>
    <row r="71" spans="1:30" ht="12.75">
      <c r="A71" s="323"/>
      <c r="B71" s="323"/>
      <c r="C71" s="323"/>
      <c r="D71" s="323"/>
      <c r="E71" s="323"/>
      <c r="F71" s="323"/>
      <c r="G71" s="323"/>
      <c r="H71" s="15" t="s">
        <v>87</v>
      </c>
      <c r="I71" s="11"/>
      <c r="J71" s="11"/>
      <c r="K71" s="11"/>
      <c r="L71" s="11"/>
      <c r="M71" s="11"/>
      <c r="N71" s="11"/>
      <c r="O71" s="11"/>
      <c r="P71" s="323"/>
      <c r="Q71" s="323"/>
      <c r="R71" s="323"/>
      <c r="S71" s="323"/>
      <c r="T71" s="323"/>
      <c r="U71" s="323"/>
      <c r="V71" s="323"/>
      <c r="W71" s="323"/>
      <c r="X71" s="323"/>
      <c r="Y71" s="323"/>
      <c r="Z71" s="323"/>
      <c r="AA71" s="323"/>
      <c r="AB71" s="323"/>
      <c r="AC71" s="323"/>
      <c r="AD71" s="323"/>
    </row>
    <row r="72" spans="1:30" ht="12">
      <c r="A72" s="323"/>
      <c r="B72" s="323"/>
      <c r="C72" s="323"/>
      <c r="D72" s="323"/>
      <c r="E72" s="323"/>
      <c r="F72" s="323"/>
      <c r="G72" s="323"/>
      <c r="H72" s="97" t="s">
        <v>129</v>
      </c>
      <c r="I72" s="98"/>
      <c r="J72" s="385">
        <f>IF(J37=2,C36,0)</f>
        <v>0</v>
      </c>
      <c r="K72" s="11"/>
      <c r="L72" s="11"/>
      <c r="M72" s="11"/>
      <c r="N72" s="11"/>
      <c r="O72" s="11"/>
      <c r="P72" s="323"/>
      <c r="Q72" s="323"/>
      <c r="R72" s="323"/>
      <c r="S72" s="323"/>
      <c r="T72" s="323"/>
      <c r="U72" s="323"/>
      <c r="V72" s="323"/>
      <c r="W72" s="323"/>
      <c r="X72" s="323"/>
      <c r="Y72" s="323"/>
      <c r="Z72" s="323"/>
      <c r="AA72" s="323"/>
      <c r="AB72" s="323"/>
      <c r="AC72" s="323"/>
      <c r="AD72" s="323"/>
    </row>
    <row r="73" spans="1:30" ht="12">
      <c r="A73" s="323"/>
      <c r="B73" s="323"/>
      <c r="C73" s="323"/>
      <c r="D73" s="323"/>
      <c r="E73" s="323"/>
      <c r="F73" s="323"/>
      <c r="G73" s="323"/>
      <c r="H73" s="97" t="s">
        <v>88</v>
      </c>
      <c r="I73" s="98"/>
      <c r="J73" s="385">
        <f>IF(J37=1,0,IF(B43="NO",0,1))</f>
        <v>0</v>
      </c>
      <c r="K73" s="11"/>
      <c r="L73" s="11"/>
      <c r="M73" s="11"/>
      <c r="N73" s="11"/>
      <c r="O73" s="11"/>
      <c r="P73" s="323"/>
      <c r="Q73" s="323"/>
      <c r="R73" s="323"/>
      <c r="S73" s="323"/>
      <c r="T73" s="323"/>
      <c r="U73" s="323"/>
      <c r="V73" s="323"/>
      <c r="W73" s="323"/>
      <c r="X73" s="323"/>
      <c r="Y73" s="323"/>
      <c r="Z73" s="323"/>
      <c r="AA73" s="323"/>
      <c r="AB73" s="323"/>
      <c r="AC73" s="323"/>
      <c r="AD73" s="323"/>
    </row>
    <row r="74" spans="1:30" ht="12">
      <c r="A74" s="323"/>
      <c r="B74" s="323"/>
      <c r="C74" s="323"/>
      <c r="D74" s="323"/>
      <c r="E74" s="323"/>
      <c r="F74" s="323"/>
      <c r="G74" s="323"/>
      <c r="H74" s="97" t="s">
        <v>89</v>
      </c>
      <c r="I74" s="98"/>
      <c r="J74" s="385">
        <f>IF(J37=1,0,IF(B47="NO",0,1))</f>
        <v>0</v>
      </c>
      <c r="K74" s="11"/>
      <c r="L74" s="11"/>
      <c r="M74" s="11"/>
      <c r="N74" s="11"/>
      <c r="O74" s="11"/>
      <c r="P74" s="323"/>
      <c r="Q74" s="323"/>
      <c r="R74" s="323"/>
      <c r="S74" s="323"/>
      <c r="T74" s="323"/>
      <c r="U74" s="323"/>
      <c r="V74" s="323"/>
      <c r="W74" s="323"/>
      <c r="X74" s="323"/>
      <c r="Y74" s="323"/>
      <c r="Z74" s="323"/>
      <c r="AA74" s="323"/>
      <c r="AB74" s="323"/>
      <c r="AC74" s="323"/>
      <c r="AD74" s="323"/>
    </row>
    <row r="75" spans="1:30" ht="12">
      <c r="A75" s="323"/>
      <c r="B75" s="323"/>
      <c r="C75" s="323"/>
      <c r="D75" s="323"/>
      <c r="E75" s="323"/>
      <c r="F75" s="323"/>
      <c r="G75" s="323"/>
      <c r="H75" s="97" t="s">
        <v>90</v>
      </c>
      <c r="I75" s="98"/>
      <c r="J75" s="385">
        <f>IF(J37=2,C37,0)</f>
        <v>0</v>
      </c>
      <c r="K75" s="11"/>
      <c r="L75" s="11"/>
      <c r="M75" s="11"/>
      <c r="N75" s="11"/>
      <c r="O75" s="11"/>
      <c r="P75" s="323"/>
      <c r="Q75" s="323"/>
      <c r="R75" s="323"/>
      <c r="S75" s="323"/>
      <c r="T75" s="323"/>
      <c r="U75" s="323"/>
      <c r="V75" s="323"/>
      <c r="W75" s="323"/>
      <c r="X75" s="323"/>
      <c r="Y75" s="323"/>
      <c r="Z75" s="323"/>
      <c r="AA75" s="323"/>
      <c r="AB75" s="323"/>
      <c r="AC75" s="323"/>
      <c r="AD75" s="323"/>
    </row>
    <row r="76" spans="1:30" ht="12">
      <c r="A76" s="323"/>
      <c r="B76" s="323"/>
      <c r="C76" s="323"/>
      <c r="D76" s="323"/>
      <c r="E76" s="323"/>
      <c r="F76" s="323"/>
      <c r="G76" s="323"/>
      <c r="H76" s="97" t="s">
        <v>91</v>
      </c>
      <c r="I76" s="98"/>
      <c r="J76" s="385">
        <f>IF(J37=2,C38,0)</f>
        <v>0</v>
      </c>
      <c r="K76" s="11"/>
      <c r="L76" s="11"/>
      <c r="M76" s="11"/>
      <c r="N76" s="11"/>
      <c r="O76" s="11"/>
      <c r="P76" s="323"/>
      <c r="Q76" s="323"/>
      <c r="R76" s="323"/>
      <c r="S76" s="323"/>
      <c r="T76" s="323"/>
      <c r="U76" s="323"/>
      <c r="V76" s="323"/>
      <c r="W76" s="323"/>
      <c r="X76" s="323"/>
      <c r="Y76" s="323"/>
      <c r="Z76" s="323"/>
      <c r="AA76" s="323"/>
      <c r="AB76" s="323"/>
      <c r="AC76" s="323"/>
      <c r="AD76" s="323"/>
    </row>
    <row r="77" spans="1:30" ht="12">
      <c r="A77" s="323"/>
      <c r="B77" s="323"/>
      <c r="C77" s="323"/>
      <c r="D77" s="323"/>
      <c r="E77" s="323"/>
      <c r="F77" s="323"/>
      <c r="G77" s="323"/>
      <c r="H77" s="97" t="s">
        <v>67</v>
      </c>
      <c r="I77" s="98"/>
      <c r="J77" s="385">
        <f>IF(J37=2,C40,0)</f>
        <v>0</v>
      </c>
      <c r="K77" s="11"/>
      <c r="L77" s="11"/>
      <c r="M77" s="11"/>
      <c r="N77" s="11"/>
      <c r="O77" s="11"/>
      <c r="P77" s="323"/>
      <c r="Q77" s="323"/>
      <c r="R77" s="323"/>
      <c r="S77" s="323"/>
      <c r="T77" s="323"/>
      <c r="U77" s="323"/>
      <c r="V77" s="323"/>
      <c r="W77" s="323"/>
      <c r="X77" s="323"/>
      <c r="Y77" s="323"/>
      <c r="Z77" s="323"/>
      <c r="AA77" s="323"/>
      <c r="AB77" s="323"/>
      <c r="AC77" s="323"/>
      <c r="AD77" s="323"/>
    </row>
    <row r="78" spans="1:30" ht="12">
      <c r="A78" s="323"/>
      <c r="B78" s="323"/>
      <c r="C78" s="323"/>
      <c r="D78" s="323"/>
      <c r="E78" s="323"/>
      <c r="F78" s="323"/>
      <c r="G78" s="323"/>
      <c r="H78" s="11"/>
      <c r="I78" s="11"/>
      <c r="J78" s="11"/>
      <c r="K78" s="11"/>
      <c r="L78" s="11"/>
      <c r="M78" s="11"/>
      <c r="N78" s="11"/>
      <c r="O78" s="11"/>
      <c r="P78" s="323"/>
      <c r="Q78" s="323"/>
      <c r="R78" s="323"/>
      <c r="S78" s="323"/>
      <c r="T78" s="323"/>
      <c r="U78" s="323"/>
      <c r="V78" s="323"/>
      <c r="W78" s="323"/>
      <c r="X78" s="323"/>
      <c r="Y78" s="323"/>
      <c r="Z78" s="323"/>
      <c r="AA78" s="323"/>
      <c r="AB78" s="323"/>
      <c r="AC78" s="323"/>
      <c r="AD78" s="323"/>
    </row>
    <row r="79" spans="1:30" ht="12">
      <c r="A79" s="323"/>
      <c r="B79" s="323"/>
      <c r="C79" s="323"/>
      <c r="D79" s="323"/>
      <c r="E79" s="323"/>
      <c r="F79" s="323"/>
      <c r="G79" s="323"/>
      <c r="H79" s="11"/>
      <c r="I79" s="11"/>
      <c r="J79" s="11"/>
      <c r="K79" s="11"/>
      <c r="L79" s="11"/>
      <c r="M79" s="11"/>
      <c r="N79" s="11"/>
      <c r="O79" s="11"/>
      <c r="P79" s="323"/>
      <c r="Q79" s="323"/>
      <c r="R79" s="323"/>
      <c r="S79" s="323"/>
      <c r="T79" s="323"/>
      <c r="U79" s="323"/>
      <c r="V79" s="323"/>
      <c r="W79" s="323"/>
      <c r="X79" s="323"/>
      <c r="Y79" s="323"/>
      <c r="Z79" s="323"/>
      <c r="AA79" s="323"/>
      <c r="AB79" s="323"/>
      <c r="AC79" s="323"/>
      <c r="AD79" s="323"/>
    </row>
    <row r="80" spans="1:30" ht="12">
      <c r="A80" s="323"/>
      <c r="B80" s="323"/>
      <c r="C80" s="323"/>
      <c r="D80" s="323"/>
      <c r="E80" s="323"/>
      <c r="F80" s="323"/>
      <c r="G80" s="323"/>
      <c r="H80" s="97" t="s">
        <v>92</v>
      </c>
      <c r="I80" s="356"/>
      <c r="J80" s="370"/>
      <c r="K80" s="357"/>
      <c r="L80" s="360">
        <f>IF(J72&gt;0,1,0)</f>
        <v>0</v>
      </c>
      <c r="M80" s="11"/>
      <c r="N80" s="11"/>
      <c r="O80" s="11"/>
      <c r="P80" s="323"/>
      <c r="Q80" s="323"/>
      <c r="R80" s="323"/>
      <c r="S80" s="323"/>
      <c r="T80" s="323"/>
      <c r="U80" s="323"/>
      <c r="V80" s="323"/>
      <c r="W80" s="323"/>
      <c r="X80" s="323"/>
      <c r="Y80" s="323"/>
      <c r="Z80" s="323"/>
      <c r="AA80" s="323"/>
      <c r="AB80" s="323"/>
      <c r="AC80" s="323"/>
      <c r="AD80" s="323"/>
    </row>
    <row r="81" spans="1:30" ht="12">
      <c r="A81" s="323"/>
      <c r="B81" s="323"/>
      <c r="C81" s="323"/>
      <c r="D81" s="323"/>
      <c r="E81" s="323"/>
      <c r="F81" s="323"/>
      <c r="G81" s="323"/>
      <c r="H81" s="372" t="s">
        <v>83</v>
      </c>
      <c r="I81" s="373"/>
      <c r="J81" s="249">
        <v>95000</v>
      </c>
      <c r="K81" s="249">
        <f>IF(J72&gt;1,(J72-1)*15000,0)</f>
        <v>0</v>
      </c>
      <c r="L81" s="99">
        <f>J81+K81</f>
        <v>95000</v>
      </c>
      <c r="M81" s="11"/>
      <c r="N81" s="11"/>
      <c r="O81" s="11"/>
      <c r="P81" s="323"/>
      <c r="Q81" s="323"/>
      <c r="R81" s="323"/>
      <c r="S81" s="323"/>
      <c r="T81" s="323"/>
      <c r="U81" s="323"/>
      <c r="V81" s="323"/>
      <c r="W81" s="323"/>
      <c r="X81" s="323"/>
      <c r="Y81" s="323"/>
      <c r="Z81" s="323"/>
      <c r="AA81" s="323"/>
      <c r="AB81" s="323"/>
      <c r="AC81" s="323"/>
      <c r="AD81" s="323"/>
    </row>
    <row r="82" spans="1:30" ht="12">
      <c r="A82" s="323"/>
      <c r="B82" s="323"/>
      <c r="C82" s="323"/>
      <c r="D82" s="323"/>
      <c r="E82" s="323"/>
      <c r="F82" s="323"/>
      <c r="G82" s="323"/>
      <c r="H82" s="374" t="s">
        <v>84</v>
      </c>
      <c r="I82" s="375"/>
      <c r="J82" s="249">
        <f>IF(J73=0,0,100)</f>
        <v>0</v>
      </c>
      <c r="K82" s="249">
        <f>220*J74</f>
        <v>0</v>
      </c>
      <c r="L82" s="99">
        <f>IF(J72&gt;3,J72*200,0)</f>
        <v>0</v>
      </c>
      <c r="M82" s="11"/>
      <c r="N82" s="11"/>
      <c r="O82" s="11"/>
      <c r="P82" s="323"/>
      <c r="Q82" s="323"/>
      <c r="R82" s="323"/>
      <c r="S82" s="323"/>
      <c r="T82" s="323"/>
      <c r="U82" s="323"/>
      <c r="V82" s="323"/>
      <c r="W82" s="323"/>
      <c r="X82" s="323"/>
      <c r="Y82" s="323"/>
      <c r="Z82" s="323"/>
      <c r="AA82" s="323"/>
      <c r="AB82" s="323"/>
      <c r="AC82" s="323"/>
      <c r="AD82" s="323"/>
    </row>
    <row r="83" spans="1:30" ht="12">
      <c r="A83" s="323"/>
      <c r="B83" s="323"/>
      <c r="C83" s="323"/>
      <c r="D83" s="323"/>
      <c r="E83" s="323"/>
      <c r="F83" s="323"/>
      <c r="G83" s="323"/>
      <c r="H83" s="376" t="s">
        <v>85</v>
      </c>
      <c r="I83" s="377"/>
      <c r="J83" s="249">
        <f>800+J82+K82+L82</f>
        <v>800</v>
      </c>
      <c r="K83" s="378">
        <f>ROUND((L81-L5)/L81,4)</f>
        <v>0.702</v>
      </c>
      <c r="L83" s="99">
        <f>IF(K83&gt;1,J83,J83*K83)</f>
        <v>561.5999999999999</v>
      </c>
      <c r="M83" s="11"/>
      <c r="N83" s="11"/>
      <c r="O83" s="11"/>
      <c r="P83" s="323"/>
      <c r="Q83" s="323"/>
      <c r="R83" s="323"/>
      <c r="S83" s="323"/>
      <c r="T83" s="323"/>
      <c r="U83" s="323"/>
      <c r="V83" s="323"/>
      <c r="W83" s="323"/>
      <c r="X83" s="323"/>
      <c r="Y83" s="323"/>
      <c r="Z83" s="323"/>
      <c r="AA83" s="323"/>
      <c r="AB83" s="323"/>
      <c r="AC83" s="323"/>
      <c r="AD83" s="323"/>
    </row>
    <row r="84" spans="1:30" ht="12.75">
      <c r="A84" s="323"/>
      <c r="B84" s="323"/>
      <c r="C84" s="323"/>
      <c r="D84" s="323"/>
      <c r="E84" s="323"/>
      <c r="F84" s="323"/>
      <c r="G84" s="323"/>
      <c r="H84" s="100" t="s">
        <v>58</v>
      </c>
      <c r="I84" s="101"/>
      <c r="J84" s="383">
        <f>K84*L80</f>
        <v>0</v>
      </c>
      <c r="K84" s="383">
        <f>IF(L5&gt;L81,0,L83)</f>
        <v>561.5999999999999</v>
      </c>
      <c r="L84" s="383">
        <f>J84/12</f>
        <v>0</v>
      </c>
      <c r="M84" s="11"/>
      <c r="N84" s="11"/>
      <c r="O84" s="11"/>
      <c r="P84" s="323"/>
      <c r="Q84" s="323"/>
      <c r="R84" s="323"/>
      <c r="S84" s="323"/>
      <c r="T84" s="323"/>
      <c r="U84" s="323"/>
      <c r="V84" s="323"/>
      <c r="W84" s="323"/>
      <c r="X84" s="323"/>
      <c r="Y84" s="323"/>
      <c r="Z84" s="323"/>
      <c r="AA84" s="323"/>
      <c r="AB84" s="323"/>
      <c r="AC84" s="323"/>
      <c r="AD84" s="323"/>
    </row>
    <row r="85" spans="1:30" ht="12.75">
      <c r="A85" s="323"/>
      <c r="B85" s="323"/>
      <c r="C85" s="323"/>
      <c r="D85" s="323"/>
      <c r="E85" s="323"/>
      <c r="F85" s="323"/>
      <c r="G85" s="323"/>
      <c r="H85" s="100" t="s">
        <v>97</v>
      </c>
      <c r="I85" s="98"/>
      <c r="J85" s="102">
        <f>IF(K85&gt;K84,K85*L80,K84*L80)</f>
        <v>0</v>
      </c>
      <c r="K85" s="157">
        <f>K48</f>
        <v>690</v>
      </c>
      <c r="L85" s="102">
        <f>J85/12</f>
        <v>0</v>
      </c>
      <c r="M85" s="11"/>
      <c r="N85" s="11"/>
      <c r="O85" s="11"/>
      <c r="P85" s="323"/>
      <c r="Q85" s="323"/>
      <c r="R85" s="323"/>
      <c r="S85" s="323"/>
      <c r="T85" s="323"/>
      <c r="U85" s="323"/>
      <c r="V85" s="323"/>
      <c r="W85" s="323"/>
      <c r="X85" s="323"/>
      <c r="Y85" s="323"/>
      <c r="Z85" s="323"/>
      <c r="AA85" s="323"/>
      <c r="AB85" s="323"/>
      <c r="AC85" s="323"/>
      <c r="AD85" s="323"/>
    </row>
    <row r="86" spans="1:30" ht="12">
      <c r="A86" s="323"/>
      <c r="B86" s="323"/>
      <c r="C86" s="323"/>
      <c r="D86" s="323"/>
      <c r="E86" s="323"/>
      <c r="F86" s="323"/>
      <c r="G86" s="323"/>
      <c r="H86" s="11"/>
      <c r="I86" s="11"/>
      <c r="J86" s="11"/>
      <c r="K86" s="11"/>
      <c r="L86" s="11"/>
      <c r="M86" s="11"/>
      <c r="N86" s="11"/>
      <c r="O86" s="11"/>
      <c r="P86" s="323"/>
      <c r="Q86" s="323"/>
      <c r="R86" s="323"/>
      <c r="S86" s="323"/>
      <c r="T86" s="323"/>
      <c r="U86" s="323"/>
      <c r="V86" s="323"/>
      <c r="W86" s="323"/>
      <c r="X86" s="323"/>
      <c r="Y86" s="323"/>
      <c r="Z86" s="323"/>
      <c r="AA86" s="323"/>
      <c r="AB86" s="323"/>
      <c r="AC86" s="323"/>
      <c r="AD86" s="323"/>
    </row>
    <row r="87" spans="1:30" ht="12">
      <c r="A87" s="323"/>
      <c r="B87" s="323"/>
      <c r="C87" s="323"/>
      <c r="D87" s="323"/>
      <c r="E87" s="323"/>
      <c r="F87" s="323"/>
      <c r="G87" s="323"/>
      <c r="H87" s="97" t="s">
        <v>93</v>
      </c>
      <c r="I87" s="356"/>
      <c r="J87" s="362">
        <f>IF(K85&gt;K84,1,0)</f>
        <v>1</v>
      </c>
      <c r="K87" s="362">
        <f>IF(J72&gt;0,J72-1,0)</f>
        <v>0</v>
      </c>
      <c r="L87" s="360">
        <f>IF(J72&gt;1,1,0)</f>
        <v>0</v>
      </c>
      <c r="M87" s="11"/>
      <c r="N87" s="11"/>
      <c r="O87" s="11"/>
      <c r="P87" s="323"/>
      <c r="Q87" s="323"/>
      <c r="R87" s="323"/>
      <c r="S87" s="323"/>
      <c r="T87" s="323"/>
      <c r="U87" s="323"/>
      <c r="V87" s="323"/>
      <c r="W87" s="323"/>
      <c r="X87" s="323"/>
      <c r="Y87" s="323"/>
      <c r="Z87" s="323"/>
      <c r="AA87" s="323"/>
      <c r="AB87" s="323"/>
      <c r="AC87" s="323"/>
      <c r="AD87" s="323"/>
    </row>
    <row r="88" spans="1:30" ht="12">
      <c r="A88" s="323"/>
      <c r="B88" s="323"/>
      <c r="C88" s="323"/>
      <c r="D88" s="323"/>
      <c r="E88" s="323"/>
      <c r="F88" s="323"/>
      <c r="G88" s="323"/>
      <c r="H88" s="372" t="s">
        <v>83</v>
      </c>
      <c r="I88" s="367"/>
      <c r="J88" s="249">
        <v>95000</v>
      </c>
      <c r="K88" s="249">
        <f>IF(J72&gt;1,(J72-1-J87)*15000,0)</f>
        <v>0</v>
      </c>
      <c r="L88" s="99">
        <f>J88+K88</f>
        <v>95000</v>
      </c>
      <c r="M88" s="11"/>
      <c r="N88" s="11"/>
      <c r="O88" s="11"/>
      <c r="P88" s="323"/>
      <c r="Q88" s="323"/>
      <c r="R88" s="323"/>
      <c r="S88" s="323"/>
      <c r="T88" s="323"/>
      <c r="U88" s="323"/>
      <c r="V88" s="323"/>
      <c r="W88" s="323"/>
      <c r="X88" s="323"/>
      <c r="Y88" s="323"/>
      <c r="Z88" s="323"/>
      <c r="AA88" s="323"/>
      <c r="AB88" s="323"/>
      <c r="AC88" s="323"/>
      <c r="AD88" s="323"/>
    </row>
    <row r="89" spans="1:30" ht="12">
      <c r="A89" s="323"/>
      <c r="B89" s="323"/>
      <c r="C89" s="323"/>
      <c r="D89" s="323"/>
      <c r="E89" s="323"/>
      <c r="F89" s="323"/>
      <c r="G89" s="323"/>
      <c r="H89" s="374" t="s">
        <v>84</v>
      </c>
      <c r="I89" s="375"/>
      <c r="J89" s="249">
        <f>IF(J75=0,0,100*J75)</f>
        <v>0</v>
      </c>
      <c r="K89" s="249">
        <f>220*J76</f>
        <v>0</v>
      </c>
      <c r="L89" s="99">
        <f>IF(J72&gt;3,J72*200,0)</f>
        <v>0</v>
      </c>
      <c r="M89" s="11"/>
      <c r="N89" s="11"/>
      <c r="O89" s="11"/>
      <c r="P89" s="323"/>
      <c r="Q89" s="323"/>
      <c r="R89" s="323"/>
      <c r="S89" s="323"/>
      <c r="T89" s="323"/>
      <c r="U89" s="323"/>
      <c r="V89" s="323"/>
      <c r="W89" s="323"/>
      <c r="X89" s="323"/>
      <c r="Y89" s="323"/>
      <c r="Z89" s="323"/>
      <c r="AA89" s="323"/>
      <c r="AB89" s="323"/>
      <c r="AC89" s="323"/>
      <c r="AD89" s="323"/>
    </row>
    <row r="90" spans="1:30" ht="12">
      <c r="A90" s="323"/>
      <c r="B90" s="323"/>
      <c r="C90" s="323"/>
      <c r="D90" s="323"/>
      <c r="E90" s="323"/>
      <c r="F90" s="323"/>
      <c r="G90" s="323"/>
      <c r="H90" s="376" t="s">
        <v>85</v>
      </c>
      <c r="I90" s="377"/>
      <c r="J90" s="249">
        <f>800*K87+J89+K89+L89</f>
        <v>0</v>
      </c>
      <c r="K90" s="378">
        <f>ROUND((L88-L5)/L88,4)</f>
        <v>0.702</v>
      </c>
      <c r="L90" s="99">
        <f>IF(K90&gt;1,J90,J90*K90)</f>
        <v>0</v>
      </c>
      <c r="M90" s="11"/>
      <c r="N90" s="11"/>
      <c r="O90" s="11"/>
      <c r="P90" s="323"/>
      <c r="Q90" s="323"/>
      <c r="R90" s="323"/>
      <c r="S90" s="323"/>
      <c r="T90" s="323"/>
      <c r="U90" s="323"/>
      <c r="V90" s="323"/>
      <c r="W90" s="323"/>
      <c r="X90" s="323"/>
      <c r="Y90" s="323"/>
      <c r="Z90" s="323"/>
      <c r="AA90" s="323"/>
      <c r="AB90" s="323"/>
      <c r="AC90" s="323"/>
      <c r="AD90" s="323"/>
    </row>
    <row r="91" spans="1:30" ht="12.75">
      <c r="A91" s="323"/>
      <c r="B91" s="323"/>
      <c r="C91" s="323"/>
      <c r="D91" s="323"/>
      <c r="E91" s="323"/>
      <c r="F91" s="323"/>
      <c r="G91" s="323"/>
      <c r="H91" s="100" t="s">
        <v>58</v>
      </c>
      <c r="I91" s="101"/>
      <c r="J91" s="102">
        <f>K91*L87</f>
        <v>0</v>
      </c>
      <c r="K91" s="383">
        <f>IF(L5&gt;L88,0,L90)</f>
        <v>0</v>
      </c>
      <c r="L91" s="102">
        <f>J91/12</f>
        <v>0</v>
      </c>
      <c r="M91" s="11"/>
      <c r="N91" s="11"/>
      <c r="O91" s="11"/>
      <c r="P91" s="323"/>
      <c r="Q91" s="323"/>
      <c r="R91" s="323"/>
      <c r="S91" s="323"/>
      <c r="T91" s="323"/>
      <c r="U91" s="323"/>
      <c r="V91" s="323"/>
      <c r="W91" s="323"/>
      <c r="X91" s="323"/>
      <c r="Y91" s="323"/>
      <c r="Z91" s="323"/>
      <c r="AA91" s="323"/>
      <c r="AB91" s="323"/>
      <c r="AC91" s="323"/>
      <c r="AD91" s="323"/>
    </row>
    <row r="92" spans="1:30" ht="12">
      <c r="A92" s="323"/>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row>
    <row r="93" spans="1:30" ht="12">
      <c r="A93" s="323"/>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row>
    <row r="94" spans="1:30" ht="12">
      <c r="A94" s="323"/>
      <c r="B94" s="323"/>
      <c r="C94" s="323"/>
      <c r="D94" s="323"/>
      <c r="E94" s="323"/>
      <c r="F94" s="323"/>
      <c r="G94" s="323"/>
      <c r="H94" s="323"/>
      <c r="I94" s="323"/>
      <c r="J94" s="323"/>
      <c r="K94" s="323"/>
      <c r="L94" s="12"/>
      <c r="M94" s="323"/>
      <c r="N94" s="323"/>
      <c r="O94" s="323"/>
      <c r="P94" s="323"/>
      <c r="Q94" s="323"/>
      <c r="R94" s="323"/>
      <c r="S94" s="323"/>
      <c r="T94" s="323"/>
      <c r="U94" s="323"/>
      <c r="V94" s="323"/>
      <c r="W94" s="323"/>
      <c r="X94" s="323"/>
      <c r="Y94" s="323"/>
      <c r="Z94" s="323"/>
      <c r="AA94" s="323"/>
      <c r="AB94" s="323"/>
      <c r="AC94" s="323"/>
      <c r="AD94" s="323"/>
    </row>
    <row r="95" spans="1:30" ht="12">
      <c r="A95" s="323"/>
      <c r="B95" s="323"/>
      <c r="C95" s="323"/>
      <c r="D95" s="323"/>
      <c r="E95" s="323"/>
      <c r="F95" s="323"/>
      <c r="G95" s="323"/>
      <c r="H95" s="323"/>
      <c r="I95" s="323"/>
      <c r="J95" s="323"/>
      <c r="K95" s="323"/>
      <c r="L95" s="12"/>
      <c r="M95" s="323"/>
      <c r="N95" s="323"/>
      <c r="O95" s="323"/>
      <c r="P95" s="323"/>
      <c r="Q95" s="323"/>
      <c r="R95" s="323"/>
      <c r="S95" s="323"/>
      <c r="T95" s="323"/>
      <c r="U95" s="323"/>
      <c r="V95" s="323"/>
      <c r="W95" s="323"/>
      <c r="X95" s="323"/>
      <c r="Y95" s="323"/>
      <c r="Z95" s="323"/>
      <c r="AA95" s="323"/>
      <c r="AB95" s="323"/>
      <c r="AC95" s="323"/>
      <c r="AD95" s="323"/>
    </row>
    <row r="96" spans="1:30" ht="12">
      <c r="A96" s="323"/>
      <c r="B96" s="323"/>
      <c r="C96" s="323"/>
      <c r="D96" s="323"/>
      <c r="E96" s="323"/>
      <c r="F96" s="323"/>
      <c r="G96" s="323"/>
      <c r="H96" s="323"/>
      <c r="I96" s="323"/>
      <c r="J96" s="323"/>
      <c r="K96" s="323"/>
      <c r="L96" s="12"/>
      <c r="M96" s="323"/>
      <c r="N96" s="323"/>
      <c r="O96" s="323"/>
      <c r="P96" s="323"/>
      <c r="Q96" s="323"/>
      <c r="R96" s="323"/>
      <c r="S96" s="323"/>
      <c r="T96" s="323"/>
      <c r="U96" s="323"/>
      <c r="V96" s="323"/>
      <c r="W96" s="323"/>
      <c r="X96" s="323"/>
      <c r="Y96" s="323"/>
      <c r="Z96" s="323"/>
      <c r="AA96" s="323"/>
      <c r="AB96" s="323"/>
      <c r="AC96" s="323"/>
      <c r="AD96" s="323"/>
    </row>
    <row r="97" spans="1:30" ht="12">
      <c r="A97" s="323"/>
      <c r="B97" s="323"/>
      <c r="C97" s="323"/>
      <c r="D97" s="323"/>
      <c r="E97" s="323"/>
      <c r="F97" s="323"/>
      <c r="G97" s="323"/>
      <c r="H97" s="323"/>
      <c r="I97" s="323"/>
      <c r="J97" s="323"/>
      <c r="K97" s="323"/>
      <c r="L97" s="12"/>
      <c r="M97" s="323"/>
      <c r="N97" s="323"/>
      <c r="O97" s="323"/>
      <c r="P97" s="323"/>
      <c r="Q97" s="323"/>
      <c r="R97" s="323"/>
      <c r="S97" s="323"/>
      <c r="T97" s="323"/>
      <c r="U97" s="323"/>
      <c r="V97" s="323"/>
      <c r="W97" s="323"/>
      <c r="X97" s="323"/>
      <c r="Y97" s="323"/>
      <c r="Z97" s="323"/>
      <c r="AA97" s="323"/>
      <c r="AB97" s="323"/>
      <c r="AC97" s="323"/>
      <c r="AD97" s="323"/>
    </row>
    <row r="98" spans="1:30" ht="12">
      <c r="A98" s="323"/>
      <c r="B98" s="323"/>
      <c r="C98" s="323"/>
      <c r="D98" s="323"/>
      <c r="E98" s="323"/>
      <c r="F98" s="323"/>
      <c r="G98" s="323"/>
      <c r="H98" s="323"/>
      <c r="I98" s="323"/>
      <c r="J98" s="323"/>
      <c r="K98" s="323"/>
      <c r="L98" s="12"/>
      <c r="M98" s="323"/>
      <c r="N98" s="323"/>
      <c r="O98" s="323"/>
      <c r="P98" s="323"/>
      <c r="Q98" s="323"/>
      <c r="R98" s="323"/>
      <c r="S98" s="323"/>
      <c r="T98" s="323"/>
      <c r="U98" s="323"/>
      <c r="V98" s="323"/>
      <c r="W98" s="323"/>
      <c r="X98" s="323"/>
      <c r="Y98" s="323"/>
      <c r="Z98" s="323"/>
      <c r="AA98" s="323"/>
      <c r="AB98" s="323"/>
      <c r="AC98" s="323"/>
      <c r="AD98" s="323"/>
    </row>
    <row r="99" spans="1:30" ht="12">
      <c r="A99" s="323"/>
      <c r="B99" s="323"/>
      <c r="C99" s="323"/>
      <c r="D99" s="323"/>
      <c r="E99" s="323"/>
      <c r="F99" s="323"/>
      <c r="G99" s="323"/>
      <c r="H99" s="323"/>
      <c r="I99" s="323"/>
      <c r="J99" s="323"/>
      <c r="K99" s="323"/>
      <c r="L99" s="12"/>
      <c r="M99" s="323"/>
      <c r="N99" s="323"/>
      <c r="O99" s="323"/>
      <c r="P99" s="323"/>
      <c r="Q99" s="323"/>
      <c r="R99" s="323"/>
      <c r="S99" s="323"/>
      <c r="T99" s="323"/>
      <c r="U99" s="323"/>
      <c r="V99" s="323"/>
      <c r="W99" s="323"/>
      <c r="X99" s="323"/>
      <c r="Y99" s="323"/>
      <c r="Z99" s="323"/>
      <c r="AA99" s="323"/>
      <c r="AB99" s="323"/>
      <c r="AC99" s="323"/>
      <c r="AD99" s="323"/>
    </row>
    <row r="100" spans="1:30" ht="12">
      <c r="A100" s="323"/>
      <c r="B100" s="323"/>
      <c r="C100" s="323"/>
      <c r="D100" s="323"/>
      <c r="E100" s="323"/>
      <c r="F100" s="323"/>
      <c r="G100" s="323"/>
      <c r="H100" s="323"/>
      <c r="I100" s="323"/>
      <c r="J100" s="323"/>
      <c r="K100" s="323"/>
      <c r="L100" s="12"/>
      <c r="M100" s="323"/>
      <c r="N100" s="323"/>
      <c r="O100" s="323"/>
      <c r="P100" s="323"/>
      <c r="Q100" s="323"/>
      <c r="R100" s="323"/>
      <c r="S100" s="323"/>
      <c r="T100" s="323"/>
      <c r="U100" s="323"/>
      <c r="V100" s="323"/>
      <c r="W100" s="323"/>
      <c r="X100" s="323"/>
      <c r="Y100" s="323"/>
      <c r="Z100" s="323"/>
      <c r="AA100" s="323"/>
      <c r="AB100" s="323"/>
      <c r="AC100" s="323"/>
      <c r="AD100" s="323"/>
    </row>
    <row r="101" spans="1:30" ht="12">
      <c r="A101" s="323"/>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row>
    <row r="102" spans="1:30" ht="12">
      <c r="A102" s="323"/>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row>
    <row r="103" spans="1:30" ht="12">
      <c r="A103" s="323"/>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row>
    <row r="104" spans="1:30" ht="12">
      <c r="A104" s="323"/>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row>
    <row r="105" spans="1:30" ht="12">
      <c r="A105" s="323"/>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row>
    <row r="106" spans="1:30" ht="12">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row>
    <row r="107" spans="1:30" ht="12">
      <c r="A107" s="323"/>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row>
    <row r="108" spans="1:30" ht="12">
      <c r="A108" s="323"/>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row>
    <row r="109" spans="1:30" ht="12">
      <c r="A109" s="323"/>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row>
    <row r="110" spans="1:30" ht="12">
      <c r="A110" s="323"/>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row>
    <row r="111" spans="1:30" ht="12">
      <c r="A111" s="323"/>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row>
    <row r="112" spans="1:30" ht="12">
      <c r="A112" s="323"/>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row>
    <row r="113" spans="1:30" ht="12">
      <c r="A113" s="323"/>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row>
    <row r="114" spans="1:30" ht="12">
      <c r="A114" s="323"/>
      <c r="B114" s="323"/>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row>
    <row r="115" spans="1:30" ht="12">
      <c r="A115" s="323"/>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row>
    <row r="116" spans="1:30" ht="12">
      <c r="A116" s="323"/>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row>
    <row r="117" spans="1:30" ht="12">
      <c r="A117" s="323"/>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row>
  </sheetData>
  <sheetProtection password="D8FD" sheet="1"/>
  <dataValidations count="2">
    <dataValidation type="list" allowBlank="1" showInputMessage="1" showErrorMessage="1" sqref="A8">
      <formula1>$O$6:$O$7</formula1>
    </dataValidation>
    <dataValidation type="list" allowBlank="1" showInputMessage="1" showErrorMessage="1" sqref="B17 B43 B47">
      <formula1>$R$6:$R$7</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Foglio4"/>
  <dimension ref="A1:BG331"/>
  <sheetViews>
    <sheetView zoomScalePageLayoutView="0" workbookViewId="0" topLeftCell="A1">
      <selection activeCell="BC32" sqref="BC32"/>
    </sheetView>
  </sheetViews>
  <sheetFormatPr defaultColWidth="9.140625" defaultRowHeight="12.75"/>
  <cols>
    <col min="1" max="1" width="6.421875" style="0" customWidth="1"/>
    <col min="3" max="3" width="12.7109375" style="0" customWidth="1"/>
    <col min="4" max="4" width="12.421875" style="0" customWidth="1"/>
    <col min="5" max="5" width="11.57421875" style="0" customWidth="1"/>
    <col min="6" max="6" width="10.57421875" style="0" customWidth="1"/>
    <col min="7" max="7" width="12.140625" style="0" customWidth="1"/>
    <col min="8" max="8" width="10.421875" style="0" customWidth="1"/>
    <col min="9" max="9" width="11.8515625" style="0" customWidth="1"/>
    <col min="10" max="11" width="11.140625" style="0" customWidth="1"/>
    <col min="12" max="12" width="8.00390625" style="0" customWidth="1"/>
    <col min="13" max="13" width="7.8515625" style="0" customWidth="1"/>
    <col min="14" max="14" width="10.140625" style="0" customWidth="1"/>
    <col min="15" max="15" width="7.8515625" style="0" customWidth="1"/>
    <col min="16" max="17" width="11.7109375" style="0" customWidth="1"/>
    <col min="18" max="18" width="25.8515625" style="0" hidden="1" customWidth="1"/>
    <col min="19" max="19" width="6.140625" style="0" hidden="1" customWidth="1"/>
    <col min="20" max="20" width="11.28125" style="0" hidden="1" customWidth="1"/>
    <col min="21" max="21" width="11.421875" style="0" hidden="1" customWidth="1"/>
    <col min="22" max="22" width="11.57421875" style="0" hidden="1" customWidth="1"/>
    <col min="23" max="24" width="12.140625" style="0" hidden="1" customWidth="1"/>
    <col min="25" max="25" width="10.57421875" style="0" hidden="1" customWidth="1"/>
    <col min="26" max="26" width="12.140625" style="0" hidden="1" customWidth="1"/>
    <col min="27" max="27" width="14.57421875" style="0" hidden="1" customWidth="1"/>
    <col min="28" max="30" width="12.00390625" style="0" hidden="1" customWidth="1"/>
    <col min="31" max="31" width="7.57421875" style="0" hidden="1" customWidth="1"/>
    <col min="32" max="41" width="12.00390625" style="0" hidden="1" customWidth="1"/>
    <col min="42" max="42" width="12.28125" style="0" hidden="1" customWidth="1"/>
    <col min="43" max="43" width="8.140625" style="0" hidden="1" customWidth="1"/>
    <col min="44" max="44" width="11.8515625" style="0" hidden="1" customWidth="1"/>
    <col min="45" max="45" width="12.7109375" style="0" hidden="1" customWidth="1"/>
    <col min="46" max="46" width="13.140625" style="0" hidden="1" customWidth="1"/>
    <col min="47" max="47" width="11.7109375" style="0" hidden="1" customWidth="1"/>
    <col min="48" max="48" width="14.421875" style="0" hidden="1" customWidth="1"/>
    <col min="49" max="49" width="12.140625" style="0" hidden="1" customWidth="1"/>
    <col min="50" max="50" width="7.57421875" style="0" hidden="1" customWidth="1"/>
    <col min="51" max="51" width="9.28125" style="0" hidden="1" customWidth="1"/>
    <col min="52" max="54" width="10.7109375" style="0" hidden="1" customWidth="1"/>
    <col min="55" max="58" width="10.7109375" style="0" customWidth="1"/>
  </cols>
  <sheetData>
    <row r="1" spans="1:59" s="220" customFormat="1" ht="18">
      <c r="A1" s="216">
        <f>Datipers!E16</f>
        <v>2017</v>
      </c>
      <c r="B1" s="217" t="s">
        <v>552</v>
      </c>
      <c r="C1" s="218"/>
      <c r="D1" s="218"/>
      <c r="E1" s="218"/>
      <c r="F1" s="218"/>
      <c r="G1" s="218"/>
      <c r="H1" s="218"/>
      <c r="I1" s="218"/>
      <c r="J1" s="218"/>
      <c r="K1" s="218"/>
      <c r="L1" s="218"/>
      <c r="M1" s="218"/>
      <c r="N1" s="218"/>
      <c r="O1" s="218"/>
      <c r="P1" s="218"/>
      <c r="Q1" s="69"/>
      <c r="R1" s="69"/>
      <c r="S1" s="69"/>
      <c r="T1" s="219" t="s">
        <v>595</v>
      </c>
      <c r="U1" s="218"/>
      <c r="V1" s="218"/>
      <c r="W1" s="218"/>
      <c r="X1" s="218"/>
      <c r="Y1" s="218"/>
      <c r="Z1" s="218"/>
      <c r="AA1" s="231"/>
      <c r="AB1" s="661" t="s">
        <v>594</v>
      </c>
      <c r="AC1" s="285"/>
      <c r="AD1" s="139"/>
      <c r="AE1" s="283" t="s">
        <v>602</v>
      </c>
      <c r="AF1" s="284"/>
      <c r="AG1" s="284"/>
      <c r="AH1" s="285"/>
      <c r="AI1" s="69"/>
      <c r="AJ1" s="219" t="s">
        <v>603</v>
      </c>
      <c r="AK1" s="218"/>
      <c r="AL1" s="218"/>
      <c r="AM1" s="218"/>
      <c r="AN1" s="218"/>
      <c r="AO1" s="231"/>
      <c r="AP1" s="231"/>
      <c r="AQ1" s="219" t="s">
        <v>604</v>
      </c>
      <c r="AR1" s="219"/>
      <c r="AS1" s="218"/>
      <c r="AT1" s="218"/>
      <c r="AU1" s="218"/>
      <c r="AV1" s="218"/>
      <c r="AW1" s="218"/>
      <c r="AX1" s="218"/>
      <c r="AY1" s="218"/>
      <c r="AZ1" s="218"/>
      <c r="BA1" s="218"/>
      <c r="BB1" s="218"/>
      <c r="BC1" s="218"/>
      <c r="BD1" s="218"/>
      <c r="BE1" s="218"/>
      <c r="BF1" s="218"/>
      <c r="BG1" s="218"/>
    </row>
    <row r="2" spans="1:59" ht="18">
      <c r="A2" s="219" t="s">
        <v>289</v>
      </c>
      <c r="B2" s="221"/>
      <c r="C2" s="221"/>
      <c r="D2" s="221"/>
      <c r="E2" s="221"/>
      <c r="F2" s="221"/>
      <c r="G2" s="221"/>
      <c r="H2" s="221"/>
      <c r="I2" s="221"/>
      <c r="J2" s="219" t="s">
        <v>286</v>
      </c>
      <c r="K2" s="221"/>
      <c r="L2" s="221"/>
      <c r="M2" s="221"/>
      <c r="N2" s="221"/>
      <c r="O2" s="221"/>
      <c r="P2" s="221"/>
      <c r="Q2" s="69"/>
      <c r="R2" s="69"/>
      <c r="S2" s="69"/>
      <c r="T2" s="219" t="s">
        <v>596</v>
      </c>
      <c r="U2" s="218"/>
      <c r="V2" s="218"/>
      <c r="W2" s="218"/>
      <c r="X2" s="218"/>
      <c r="Y2" s="218"/>
      <c r="Z2" s="218"/>
      <c r="AA2" s="69"/>
      <c r="AB2" s="236" t="s">
        <v>592</v>
      </c>
      <c r="AC2" s="237"/>
      <c r="AD2" s="139"/>
      <c r="AE2" s="238"/>
      <c r="AF2" s="238" t="s">
        <v>233</v>
      </c>
      <c r="AG2" s="282" t="s">
        <v>265</v>
      </c>
      <c r="AH2" s="238" t="s">
        <v>228</v>
      </c>
      <c r="AI2" s="139"/>
      <c r="AJ2" s="233" t="s">
        <v>251</v>
      </c>
      <c r="AK2" s="237" t="s">
        <v>253</v>
      </c>
      <c r="AL2" s="237" t="s">
        <v>254</v>
      </c>
      <c r="AM2" s="237" t="s">
        <v>454</v>
      </c>
      <c r="AN2" s="237" t="s">
        <v>252</v>
      </c>
      <c r="AO2" s="69"/>
      <c r="AP2" s="69"/>
      <c r="AQ2" s="13"/>
      <c r="AR2" s="13"/>
      <c r="AS2" s="13"/>
      <c r="AT2" s="13"/>
      <c r="AU2" s="13"/>
      <c r="AV2" s="13"/>
      <c r="AW2" s="13"/>
      <c r="AX2" s="69"/>
      <c r="AY2" s="69"/>
      <c r="AZ2" s="69"/>
      <c r="BA2" s="69"/>
      <c r="BB2" s="69"/>
      <c r="BC2" s="69"/>
      <c r="BD2" s="69"/>
      <c r="BE2" s="69"/>
      <c r="BF2" s="69"/>
      <c r="BG2" s="69"/>
    </row>
    <row r="3" spans="1:59" ht="15.75">
      <c r="A3" s="219"/>
      <c r="B3" s="315"/>
      <c r="C3" s="221"/>
      <c r="D3" s="221"/>
      <c r="E3" s="221"/>
      <c r="F3" s="221"/>
      <c r="G3" s="221"/>
      <c r="H3" s="221"/>
      <c r="I3" s="221"/>
      <c r="J3" s="221"/>
      <c r="K3" s="221"/>
      <c r="L3" s="221"/>
      <c r="M3" s="221"/>
      <c r="N3" s="221"/>
      <c r="O3" s="221"/>
      <c r="P3" s="221"/>
      <c r="Q3" s="69"/>
      <c r="R3" s="69"/>
      <c r="S3" s="69"/>
      <c r="T3" s="619">
        <f>IF(W3&gt;0,W3,IF(V3&gt;0,V3,U3))</f>
        <v>27097.850000000002</v>
      </c>
      <c r="U3" s="666">
        <f>VLOOKUP(A1,A10:G37,3)</f>
        <v>0</v>
      </c>
      <c r="V3" s="666">
        <f>VLOOKUP(A1,A10:G37,5)</f>
        <v>20713.729999999996</v>
      </c>
      <c r="W3" s="666">
        <f>VLOOKUP(A1,A10:G37,7)</f>
        <v>27097.850000000002</v>
      </c>
      <c r="X3" s="666"/>
      <c r="Y3" s="666"/>
      <c r="Z3" s="666"/>
      <c r="AA3" s="69"/>
      <c r="AB3" s="309" t="s">
        <v>591</v>
      </c>
      <c r="AC3" s="308"/>
      <c r="AD3" s="69"/>
      <c r="AE3" s="243">
        <v>2012</v>
      </c>
      <c r="AF3" s="256">
        <f>IF(G22&gt;0,G22,G18)*N10</f>
        <v>2108.3016666666667</v>
      </c>
      <c r="AG3" s="256">
        <f>AF3/12*8</f>
        <v>1405.5344444444445</v>
      </c>
      <c r="AH3" s="256">
        <f>IF($A$1=AE3,AG3,AF3)</f>
        <v>2108.3016666666667</v>
      </c>
      <c r="AI3" s="139"/>
      <c r="AJ3" s="238"/>
      <c r="AK3" s="238" t="s">
        <v>228</v>
      </c>
      <c r="AL3" s="238"/>
      <c r="AM3" s="492">
        <v>0.18</v>
      </c>
      <c r="AN3" s="238" t="s">
        <v>0</v>
      </c>
      <c r="AO3" s="69"/>
      <c r="AP3" s="69"/>
      <c r="AQ3" s="233" t="s">
        <v>208</v>
      </c>
      <c r="AR3" s="233"/>
      <c r="AS3" s="233" t="s">
        <v>220</v>
      </c>
      <c r="AT3" s="233" t="s">
        <v>221</v>
      </c>
      <c r="AU3" s="233"/>
      <c r="AV3" s="237" t="s">
        <v>212</v>
      </c>
      <c r="AW3" s="237" t="s">
        <v>222</v>
      </c>
      <c r="AX3" s="69"/>
      <c r="AY3" s="69"/>
      <c r="AZ3" s="69"/>
      <c r="BA3" s="69"/>
      <c r="BB3" s="69"/>
      <c r="BC3" s="69"/>
      <c r="BD3" s="69"/>
      <c r="BE3" s="69"/>
      <c r="BF3" s="69"/>
      <c r="BG3" s="69"/>
    </row>
    <row r="4" spans="1:59" ht="15.75">
      <c r="A4" s="219"/>
      <c r="B4" s="315" t="s">
        <v>288</v>
      </c>
      <c r="C4" s="221"/>
      <c r="D4" s="221"/>
      <c r="E4" s="221"/>
      <c r="F4" s="221"/>
      <c r="G4" s="221"/>
      <c r="H4" s="221"/>
      <c r="I4" s="221"/>
      <c r="J4" s="221"/>
      <c r="K4" s="221"/>
      <c r="L4" s="221"/>
      <c r="M4" s="221"/>
      <c r="N4" s="221"/>
      <c r="O4" s="221"/>
      <c r="P4" s="221"/>
      <c r="Q4" s="69"/>
      <c r="R4" s="69"/>
      <c r="S4" s="69"/>
      <c r="T4" s="665"/>
      <c r="U4" s="665"/>
      <c r="V4" s="665"/>
      <c r="W4" s="665"/>
      <c r="X4" s="665"/>
      <c r="Y4" s="665"/>
      <c r="Z4" s="665"/>
      <c r="AA4" s="69"/>
      <c r="AB4" s="649">
        <v>2012</v>
      </c>
      <c r="AC4" s="650">
        <f>VLOOKUP(B11,Dati!A4:Q49,CalcoloA!R13)/12</f>
        <v>1576.2916666666667</v>
      </c>
      <c r="AD4" s="69"/>
      <c r="AE4" s="243">
        <f aca="true" t="shared" si="0" ref="AE4:AE13">AE3+1</f>
        <v>2013</v>
      </c>
      <c r="AF4" s="256">
        <f>IF(G35&gt;0,G35,G31)*N23</f>
        <v>2108.3016666666667</v>
      </c>
      <c r="AG4" s="256">
        <f aca="true" t="shared" si="1" ref="AG4:AG13">AF4/12*8</f>
        <v>1405.5344444444445</v>
      </c>
      <c r="AH4" s="256">
        <f aca="true" t="shared" si="2" ref="AH4:AH13">IF($A$1=AE4,AG4,AF4)</f>
        <v>2108.3016666666667</v>
      </c>
      <c r="AI4" s="69"/>
      <c r="AJ4" s="243">
        <v>2012</v>
      </c>
      <c r="AK4" s="256">
        <f>I10</f>
        <v>28704.410000000007</v>
      </c>
      <c r="AL4" s="256">
        <f aca="true" t="shared" si="3" ref="AL4:AL9">AH3</f>
        <v>2108.3016666666667</v>
      </c>
      <c r="AM4" s="256">
        <f aca="true" t="shared" si="4" ref="AM4:AM17">Z8</f>
        <v>0</v>
      </c>
      <c r="AN4" s="256">
        <f>SUM(AK4:AM4)</f>
        <v>30812.711666666673</v>
      </c>
      <c r="AO4" s="69"/>
      <c r="AP4" s="69"/>
      <c r="AQ4" s="238" t="s">
        <v>0</v>
      </c>
      <c r="AR4" s="238"/>
      <c r="AS4" s="238" t="s">
        <v>234</v>
      </c>
      <c r="AT4" s="238" t="s">
        <v>235</v>
      </c>
      <c r="AU4" s="238"/>
      <c r="AV4" s="238" t="s">
        <v>236</v>
      </c>
      <c r="AW4" s="238" t="s">
        <v>237</v>
      </c>
      <c r="AX4" s="69"/>
      <c r="AY4" s="69"/>
      <c r="AZ4" s="69"/>
      <c r="BA4" s="69"/>
      <c r="BB4" s="69"/>
      <c r="BC4" s="69"/>
      <c r="BD4" s="69"/>
      <c r="BE4" s="69"/>
      <c r="BF4" s="69"/>
      <c r="BG4" s="69"/>
    </row>
    <row r="5" spans="1:59" ht="15.75">
      <c r="A5" s="222" t="s">
        <v>204</v>
      </c>
      <c r="B5" s="222"/>
      <c r="C5" s="13"/>
      <c r="D5" s="13"/>
      <c r="E5" s="13"/>
      <c r="F5" s="13"/>
      <c r="G5" s="223" t="s">
        <v>99</v>
      </c>
      <c r="H5" s="223"/>
      <c r="I5" s="223" t="s">
        <v>30</v>
      </c>
      <c r="J5" s="13"/>
      <c r="K5" s="13"/>
      <c r="L5" s="13"/>
      <c r="M5" s="13"/>
      <c r="N5" s="13"/>
      <c r="O5" s="13"/>
      <c r="P5" s="13"/>
      <c r="Q5" s="69"/>
      <c r="R5" s="69"/>
      <c r="S5" s="69"/>
      <c r="T5" s="664" t="s">
        <v>593</v>
      </c>
      <c r="U5" s="663" t="s">
        <v>217</v>
      </c>
      <c r="V5" s="662" t="s">
        <v>218</v>
      </c>
      <c r="W5" s="662" t="s">
        <v>218</v>
      </c>
      <c r="X5" s="663" t="s">
        <v>214</v>
      </c>
      <c r="Y5" s="663" t="s">
        <v>452</v>
      </c>
      <c r="Z5" s="663" t="s">
        <v>219</v>
      </c>
      <c r="AA5" s="69"/>
      <c r="AB5" s="649">
        <v>2013</v>
      </c>
      <c r="AC5" s="650">
        <f>VLOOKUP(B24,Dati!A4:Q49,CalcoloA!R13)/12</f>
        <v>1576.2916666666667</v>
      </c>
      <c r="AD5" s="69"/>
      <c r="AE5" s="243">
        <f t="shared" si="0"/>
        <v>2014</v>
      </c>
      <c r="AF5" s="256">
        <f>IF(G48&gt;0,G48,G44)*N36</f>
        <v>2258.1541666666667</v>
      </c>
      <c r="AG5" s="256">
        <f t="shared" si="1"/>
        <v>1505.4361111111111</v>
      </c>
      <c r="AH5" s="256">
        <f t="shared" si="2"/>
        <v>2258.1541666666667</v>
      </c>
      <c r="AI5" s="69"/>
      <c r="AJ5" s="243">
        <f aca="true" t="shared" si="5" ref="AJ5:AJ17">AJ4+1</f>
        <v>2013</v>
      </c>
      <c r="AK5" s="256">
        <f>I23</f>
        <v>28704.410000000007</v>
      </c>
      <c r="AL5" s="256">
        <f t="shared" si="3"/>
        <v>2108.3016666666667</v>
      </c>
      <c r="AM5" s="256">
        <f t="shared" si="4"/>
        <v>0</v>
      </c>
      <c r="AN5" s="256">
        <f aca="true" t="shared" si="6" ref="AN5:AN17">SUM(AK5:AM5)</f>
        <v>30812.711666666673</v>
      </c>
      <c r="AO5" s="69"/>
      <c r="AP5" s="69"/>
      <c r="AQ5" s="13"/>
      <c r="AR5" s="13"/>
      <c r="AS5" s="13"/>
      <c r="AT5" s="13"/>
      <c r="AU5" s="13"/>
      <c r="AV5" s="13"/>
      <c r="AW5" s="13"/>
      <c r="AX5" s="69"/>
      <c r="AY5" s="69"/>
      <c r="AZ5" s="69"/>
      <c r="BA5" s="69"/>
      <c r="BB5" s="69"/>
      <c r="BC5" s="69"/>
      <c r="BD5" s="69"/>
      <c r="BE5" s="69"/>
      <c r="BF5" s="69"/>
      <c r="BG5" s="69"/>
    </row>
    <row r="6" spans="1:59" ht="15.75">
      <c r="A6" s="224"/>
      <c r="B6" s="224"/>
      <c r="C6" s="225">
        <f>19567000+1920000+225000+260</f>
        <v>21712260</v>
      </c>
      <c r="D6" s="226" t="s">
        <v>205</v>
      </c>
      <c r="E6" s="227">
        <f>C6/1936.27</f>
        <v>11213.446471824695</v>
      </c>
      <c r="F6" s="69"/>
      <c r="G6" s="228">
        <f>E6</f>
        <v>11213.446471824695</v>
      </c>
      <c r="H6" s="229" t="s">
        <v>287</v>
      </c>
      <c r="I6" s="227">
        <f>G6/12</f>
        <v>934.4538726520578</v>
      </c>
      <c r="J6" s="69"/>
      <c r="K6" s="69"/>
      <c r="L6" s="230" t="s">
        <v>206</v>
      </c>
      <c r="M6" s="69"/>
      <c r="N6" s="69"/>
      <c r="O6" s="135" t="s">
        <v>581</v>
      </c>
      <c r="P6" s="69"/>
      <c r="Q6" s="69"/>
      <c r="R6" s="69"/>
      <c r="S6" s="69"/>
      <c r="T6" s="241" t="s">
        <v>231</v>
      </c>
      <c r="U6" s="238"/>
      <c r="V6" s="238" t="s">
        <v>232</v>
      </c>
      <c r="W6" s="238" t="s">
        <v>227</v>
      </c>
      <c r="X6" s="238" t="s">
        <v>233</v>
      </c>
      <c r="Y6" s="238" t="s">
        <v>453</v>
      </c>
      <c r="Z6" s="242" t="s">
        <v>454</v>
      </c>
      <c r="AA6" s="69"/>
      <c r="AB6" s="649">
        <v>2014</v>
      </c>
      <c r="AC6" s="650">
        <f>VLOOKUP(B37,Dati!A4:Q49,CalcoloA!R13)/12</f>
        <v>1726.1441666666667</v>
      </c>
      <c r="AD6" s="69"/>
      <c r="AE6" s="243">
        <f t="shared" si="0"/>
        <v>2015</v>
      </c>
      <c r="AF6" s="256">
        <f>IF(G61&gt;0,G61,G57)*N49</f>
        <v>2258.1541666666667</v>
      </c>
      <c r="AG6" s="256">
        <f t="shared" si="1"/>
        <v>1505.4361111111111</v>
      </c>
      <c r="AH6" s="256">
        <f t="shared" si="2"/>
        <v>2258.1541666666667</v>
      </c>
      <c r="AI6" s="69"/>
      <c r="AJ6" s="243">
        <f t="shared" si="5"/>
        <v>2014</v>
      </c>
      <c r="AK6" s="256">
        <f>I36</f>
        <v>30826.3214</v>
      </c>
      <c r="AL6" s="256">
        <f t="shared" si="3"/>
        <v>2258.1541666666667</v>
      </c>
      <c r="AM6" s="256">
        <f t="shared" si="4"/>
        <v>0</v>
      </c>
      <c r="AN6" s="256">
        <f t="shared" si="6"/>
        <v>33084.47556666667</v>
      </c>
      <c r="AO6" s="69"/>
      <c r="AP6" s="69"/>
      <c r="AQ6" s="660">
        <v>2012</v>
      </c>
      <c r="AR6" s="634"/>
      <c r="AS6" s="635"/>
      <c r="AT6" s="636"/>
      <c r="AU6" s="592" t="s">
        <v>526</v>
      </c>
      <c r="AV6" s="249">
        <f aca="true" t="shared" si="7" ref="AV6:AV19">AN4</f>
        <v>30812.711666666673</v>
      </c>
      <c r="AW6" s="249">
        <f aca="true" t="shared" si="8" ref="AW6:AW18">AT6+AV6</f>
        <v>30812.711666666673</v>
      </c>
      <c r="AX6" s="69"/>
      <c r="AY6" s="69"/>
      <c r="AZ6" s="69"/>
      <c r="BA6" s="69"/>
      <c r="BB6" s="69"/>
      <c r="BC6" s="69"/>
      <c r="BD6" s="69"/>
      <c r="BE6" s="69"/>
      <c r="BF6" s="69"/>
      <c r="BG6" s="69"/>
    </row>
    <row r="7" spans="1:59" ht="15">
      <c r="A7" s="310">
        <f>Datipers!C13</f>
        <v>5</v>
      </c>
      <c r="B7" s="311" t="s">
        <v>1</v>
      </c>
      <c r="C7" s="312"/>
      <c r="D7" s="313"/>
      <c r="E7" s="313"/>
      <c r="F7" s="313"/>
      <c r="G7" s="313"/>
      <c r="H7" s="313"/>
      <c r="I7" s="313"/>
      <c r="J7" s="313"/>
      <c r="K7" s="313"/>
      <c r="L7" s="314" t="s">
        <v>207</v>
      </c>
      <c r="M7" s="311"/>
      <c r="N7" s="69"/>
      <c r="O7" s="135" t="s">
        <v>609</v>
      </c>
      <c r="P7" s="69"/>
      <c r="Q7" s="69"/>
      <c r="R7" s="69"/>
      <c r="S7" s="69"/>
      <c r="T7" s="665"/>
      <c r="U7" s="665"/>
      <c r="V7" s="665"/>
      <c r="W7" s="665"/>
      <c r="X7" s="665"/>
      <c r="Y7" s="665"/>
      <c r="Z7" s="665"/>
      <c r="AA7" s="69"/>
      <c r="AB7" s="649">
        <v>2015</v>
      </c>
      <c r="AC7" s="650">
        <f>VLOOKUP(B50,Dati!A4:Q49,CalcoloA!R13)/12</f>
        <v>1726.1441666666667</v>
      </c>
      <c r="AD7" s="139"/>
      <c r="AE7" s="243">
        <f t="shared" si="0"/>
        <v>2016</v>
      </c>
      <c r="AF7" s="256">
        <f>IF(G74&gt;0,G74,G70)*N62</f>
        <v>2258.1541666666667</v>
      </c>
      <c r="AG7" s="256">
        <f t="shared" si="1"/>
        <v>1505.4361111111111</v>
      </c>
      <c r="AH7" s="256">
        <f t="shared" si="2"/>
        <v>2258.1541666666667</v>
      </c>
      <c r="AI7" s="69"/>
      <c r="AJ7" s="243">
        <f t="shared" si="5"/>
        <v>2015</v>
      </c>
      <c r="AK7" s="256">
        <f>I49</f>
        <v>30826.3214</v>
      </c>
      <c r="AL7" s="256">
        <f t="shared" si="3"/>
        <v>2258.1541666666667</v>
      </c>
      <c r="AM7" s="256">
        <f t="shared" si="4"/>
        <v>0</v>
      </c>
      <c r="AN7" s="256">
        <f t="shared" si="6"/>
        <v>33084.47556666667</v>
      </c>
      <c r="AO7" s="69"/>
      <c r="AP7" s="69"/>
      <c r="AQ7" s="660">
        <f>AQ6+1</f>
        <v>2013</v>
      </c>
      <c r="AR7" s="592" t="s">
        <v>558</v>
      </c>
      <c r="AS7" s="632">
        <f aca="true" t="shared" si="9" ref="AS7:AS19">P11</f>
        <v>1.001643</v>
      </c>
      <c r="AT7" s="157">
        <f aca="true" t="shared" si="10" ref="AT7:AT19">AW6*AS7</f>
        <v>30863.33695193501</v>
      </c>
      <c r="AU7" s="592" t="s">
        <v>527</v>
      </c>
      <c r="AV7" s="249">
        <f t="shared" si="7"/>
        <v>30812.711666666673</v>
      </c>
      <c r="AW7" s="249">
        <f t="shared" si="8"/>
        <v>61676.04861860168</v>
      </c>
      <c r="AX7" s="69"/>
      <c r="AY7" s="69"/>
      <c r="AZ7" s="69"/>
      <c r="BA7" s="69"/>
      <c r="BB7" s="69"/>
      <c r="BC7" s="69"/>
      <c r="BD7" s="69"/>
      <c r="BE7" s="69"/>
      <c r="BF7" s="69"/>
      <c r="BG7" s="69"/>
    </row>
    <row r="8" spans="1:59" ht="12.75">
      <c r="A8" s="233" t="s">
        <v>208</v>
      </c>
      <c r="B8" s="234" t="s">
        <v>209</v>
      </c>
      <c r="C8" s="234" t="s">
        <v>210</v>
      </c>
      <c r="D8" s="234" t="s">
        <v>211</v>
      </c>
      <c r="E8" s="233" t="s">
        <v>212</v>
      </c>
      <c r="F8" s="235" t="s">
        <v>213</v>
      </c>
      <c r="G8" s="235" t="s">
        <v>212</v>
      </c>
      <c r="H8" s="234" t="s">
        <v>214</v>
      </c>
      <c r="I8" s="234" t="s">
        <v>212</v>
      </c>
      <c r="J8" s="234" t="s">
        <v>215</v>
      </c>
      <c r="K8" s="234" t="s">
        <v>215</v>
      </c>
      <c r="L8" s="233" t="s">
        <v>216</v>
      </c>
      <c r="M8" s="233" t="s">
        <v>216</v>
      </c>
      <c r="N8" s="69"/>
      <c r="O8" s="236" t="s">
        <v>284</v>
      </c>
      <c r="P8" s="237"/>
      <c r="Q8" s="69"/>
      <c r="R8" s="667" t="s">
        <v>611</v>
      </c>
      <c r="S8" s="69"/>
      <c r="T8" s="651">
        <v>2012</v>
      </c>
      <c r="U8" s="146">
        <f aca="true" t="shared" si="11" ref="U8:U21">P29</f>
        <v>0</v>
      </c>
      <c r="V8" s="146">
        <f>K10</f>
        <v>3090</v>
      </c>
      <c r="W8" s="146">
        <f aca="true" t="shared" si="12" ref="W8:W21">U8+V8</f>
        <v>3090</v>
      </c>
      <c r="X8" s="146">
        <f>H10</f>
        <v>3404.7900000000004</v>
      </c>
      <c r="Y8" s="251">
        <f>W8-X8</f>
        <v>-314.7900000000004</v>
      </c>
      <c r="Z8" s="251">
        <f>IF(Y8&gt;0,Y8,0)</f>
        <v>0</v>
      </c>
      <c r="AA8" s="69"/>
      <c r="AB8" s="649">
        <v>2016</v>
      </c>
      <c r="AC8" s="650">
        <f>VLOOKUP(B63,Dati!A4:Q49,CalcoloA!R13)/12</f>
        <v>1726.1441666666667</v>
      </c>
      <c r="AD8" s="139"/>
      <c r="AE8" s="243">
        <f t="shared" si="0"/>
        <v>2017</v>
      </c>
      <c r="AF8" s="256">
        <f>IF(G87&gt;0,G87,G83)*N75</f>
        <v>2258.1541666666667</v>
      </c>
      <c r="AG8" s="256">
        <f t="shared" si="1"/>
        <v>1505.4361111111111</v>
      </c>
      <c r="AH8" s="256">
        <f t="shared" si="2"/>
        <v>1505.4361111111111</v>
      </c>
      <c r="AI8" s="139"/>
      <c r="AJ8" s="243">
        <f t="shared" si="5"/>
        <v>2016</v>
      </c>
      <c r="AK8" s="256">
        <f>I62</f>
        <v>30826.3214</v>
      </c>
      <c r="AL8" s="256">
        <f t="shared" si="3"/>
        <v>2258.1541666666667</v>
      </c>
      <c r="AM8" s="256">
        <f t="shared" si="4"/>
        <v>0</v>
      </c>
      <c r="AN8" s="256">
        <f t="shared" si="6"/>
        <v>33084.47556666667</v>
      </c>
      <c r="AO8" s="69"/>
      <c r="AP8" s="69"/>
      <c r="AQ8" s="660">
        <f aca="true" t="shared" si="13" ref="AQ8:AQ19">AQ7+1</f>
        <v>2014</v>
      </c>
      <c r="AR8" s="592" t="s">
        <v>559</v>
      </c>
      <c r="AS8" s="632">
        <f t="shared" si="9"/>
        <v>1</v>
      </c>
      <c r="AT8" s="157">
        <f t="shared" si="10"/>
        <v>61676.04861860168</v>
      </c>
      <c r="AU8" s="592" t="s">
        <v>528</v>
      </c>
      <c r="AV8" s="249">
        <f t="shared" si="7"/>
        <v>33084.47556666667</v>
      </c>
      <c r="AW8" s="249">
        <f t="shared" si="8"/>
        <v>94760.52418526835</v>
      </c>
      <c r="AX8" s="69"/>
      <c r="AY8" s="69"/>
      <c r="AZ8" s="69"/>
      <c r="BA8" s="69"/>
      <c r="BB8" s="69"/>
      <c r="BC8" s="69"/>
      <c r="BD8" s="69"/>
      <c r="BE8" s="69"/>
      <c r="BF8" s="69"/>
      <c r="BG8" s="69"/>
    </row>
    <row r="9" spans="1:59" ht="12.75">
      <c r="A9" s="238" t="s">
        <v>0</v>
      </c>
      <c r="B9" s="239" t="s">
        <v>223</v>
      </c>
      <c r="C9" s="239" t="s">
        <v>30</v>
      </c>
      <c r="D9" s="239" t="s">
        <v>224</v>
      </c>
      <c r="E9" s="238" t="s">
        <v>225</v>
      </c>
      <c r="F9" s="238" t="s">
        <v>226</v>
      </c>
      <c r="G9" s="239" t="s">
        <v>227</v>
      </c>
      <c r="H9" s="240" t="s">
        <v>228</v>
      </c>
      <c r="I9" s="239" t="s">
        <v>228</v>
      </c>
      <c r="J9" s="239" t="s">
        <v>30</v>
      </c>
      <c r="K9" s="239" t="s">
        <v>228</v>
      </c>
      <c r="L9" s="238" t="s">
        <v>229</v>
      </c>
      <c r="M9" s="238" t="s">
        <v>230</v>
      </c>
      <c r="N9" s="69"/>
      <c r="O9" s="309" t="s">
        <v>285</v>
      </c>
      <c r="P9" s="308"/>
      <c r="Q9" s="69"/>
      <c r="R9" s="667" t="s">
        <v>612</v>
      </c>
      <c r="S9" s="69"/>
      <c r="T9" s="651">
        <f aca="true" t="shared" si="14" ref="T9:T21">T8+1</f>
        <v>2013</v>
      </c>
      <c r="U9" s="146">
        <f t="shared" si="11"/>
        <v>0</v>
      </c>
      <c r="V9" s="146">
        <f>K23</f>
        <v>3090</v>
      </c>
      <c r="W9" s="146">
        <f t="shared" si="12"/>
        <v>3090</v>
      </c>
      <c r="X9" s="146">
        <f>H23</f>
        <v>3404.7900000000004</v>
      </c>
      <c r="Y9" s="251">
        <f aca="true" t="shared" si="15" ref="Y9:Y21">W9-X9</f>
        <v>-314.7900000000004</v>
      </c>
      <c r="Z9" s="251">
        <f aca="true" t="shared" si="16" ref="Z9:Z21">IF(Y9&gt;0,Y9,0)</f>
        <v>0</v>
      </c>
      <c r="AA9" s="69"/>
      <c r="AB9" s="649">
        <v>2017</v>
      </c>
      <c r="AC9" s="650">
        <f>VLOOKUP(B76,Dati!A4:Q49,CalcoloA!R13)/12</f>
        <v>1726.1441666666667</v>
      </c>
      <c r="AD9" s="69"/>
      <c r="AE9" s="243">
        <f t="shared" si="0"/>
        <v>2018</v>
      </c>
      <c r="AF9" s="256">
        <f>IF(G126&gt;0,G126,G122)*N88</f>
        <v>0</v>
      </c>
      <c r="AG9" s="256">
        <f t="shared" si="1"/>
        <v>0</v>
      </c>
      <c r="AH9" s="256">
        <f t="shared" si="2"/>
        <v>0</v>
      </c>
      <c r="AI9" s="139"/>
      <c r="AJ9" s="243">
        <f t="shared" si="5"/>
        <v>2017</v>
      </c>
      <c r="AK9" s="256">
        <f>I75</f>
        <v>20550.880933333334</v>
      </c>
      <c r="AL9" s="256">
        <f t="shared" si="3"/>
        <v>1505.4361111111111</v>
      </c>
      <c r="AM9" s="256">
        <f t="shared" si="4"/>
        <v>0</v>
      </c>
      <c r="AN9" s="256">
        <f t="shared" si="6"/>
        <v>22056.317044444444</v>
      </c>
      <c r="AO9" s="69"/>
      <c r="AP9" s="69"/>
      <c r="AQ9" s="660">
        <f t="shared" si="13"/>
        <v>2015</v>
      </c>
      <c r="AR9" s="592" t="s">
        <v>560</v>
      </c>
      <c r="AS9" s="632">
        <f t="shared" si="9"/>
        <v>1.005058</v>
      </c>
      <c r="AT9" s="157">
        <f t="shared" si="10"/>
        <v>95239.82291659745</v>
      </c>
      <c r="AU9" s="592" t="s">
        <v>529</v>
      </c>
      <c r="AV9" s="249">
        <f t="shared" si="7"/>
        <v>33084.47556666667</v>
      </c>
      <c r="AW9" s="249">
        <f t="shared" si="8"/>
        <v>128324.29848326411</v>
      </c>
      <c r="AX9" s="69"/>
      <c r="AY9" s="69"/>
      <c r="AZ9" s="69"/>
      <c r="BA9" s="69"/>
      <c r="BB9" s="69"/>
      <c r="BC9" s="69"/>
      <c r="BD9" s="69"/>
      <c r="BE9" s="69"/>
      <c r="BF9" s="69"/>
      <c r="BG9" s="69"/>
    </row>
    <row r="10" spans="1:59" ht="12.75">
      <c r="A10" s="243">
        <v>2012</v>
      </c>
      <c r="B10" s="69"/>
      <c r="C10" s="69"/>
      <c r="D10" s="69"/>
      <c r="E10" s="244">
        <f aca="true" t="shared" si="17" ref="E10:M10">SUM(E11:E22)</f>
        <v>18915.5</v>
      </c>
      <c r="F10" s="244">
        <f t="shared" si="17"/>
        <v>6384.120000000002</v>
      </c>
      <c r="G10" s="244">
        <f t="shared" si="17"/>
        <v>25299.62</v>
      </c>
      <c r="H10" s="244">
        <f t="shared" si="17"/>
        <v>3404.7900000000004</v>
      </c>
      <c r="I10" s="244">
        <f t="shared" si="17"/>
        <v>28704.410000000007</v>
      </c>
      <c r="J10" s="244">
        <f t="shared" si="17"/>
        <v>3090</v>
      </c>
      <c r="K10" s="244">
        <f t="shared" si="17"/>
        <v>3090</v>
      </c>
      <c r="L10" s="245">
        <f t="shared" si="17"/>
        <v>288</v>
      </c>
      <c r="M10" s="245">
        <f t="shared" si="17"/>
        <v>288</v>
      </c>
      <c r="N10" s="725">
        <f>ROUND((M10/L10),5)</f>
        <v>1</v>
      </c>
      <c r="O10" s="69"/>
      <c r="P10" s="69"/>
      <c r="Q10" s="69"/>
      <c r="R10" s="667" t="s">
        <v>602</v>
      </c>
      <c r="S10" s="69"/>
      <c r="T10" s="651">
        <f t="shared" si="14"/>
        <v>2014</v>
      </c>
      <c r="U10" s="146">
        <f t="shared" si="11"/>
        <v>0</v>
      </c>
      <c r="V10" s="146">
        <f>K36</f>
        <v>3090</v>
      </c>
      <c r="W10" s="146">
        <f t="shared" si="12"/>
        <v>3090</v>
      </c>
      <c r="X10" s="146">
        <f>H36</f>
        <v>3728.4714</v>
      </c>
      <c r="Y10" s="251">
        <f t="shared" si="15"/>
        <v>-638.4713999999999</v>
      </c>
      <c r="Z10" s="251">
        <f t="shared" si="16"/>
        <v>0</v>
      </c>
      <c r="AA10" s="69"/>
      <c r="AB10" s="649">
        <v>2018</v>
      </c>
      <c r="AC10" s="624"/>
      <c r="AD10" s="69"/>
      <c r="AE10" s="243">
        <f t="shared" si="0"/>
        <v>2019</v>
      </c>
      <c r="AF10" s="256">
        <f>IF(G139&gt;0,G139,G135)*N101</f>
        <v>0</v>
      </c>
      <c r="AG10" s="256">
        <f t="shared" si="1"/>
        <v>0</v>
      </c>
      <c r="AH10" s="256">
        <f t="shared" si="2"/>
        <v>0</v>
      </c>
      <c r="AI10" s="69"/>
      <c r="AJ10" s="243">
        <f t="shared" si="5"/>
        <v>2018</v>
      </c>
      <c r="AK10" s="256"/>
      <c r="AL10" s="256">
        <f aca="true" t="shared" si="18" ref="AL10:AL17">AH9</f>
        <v>0</v>
      </c>
      <c r="AM10" s="256">
        <f t="shared" si="4"/>
        <v>0</v>
      </c>
      <c r="AN10" s="256">
        <f t="shared" si="6"/>
        <v>0</v>
      </c>
      <c r="AO10" s="69"/>
      <c r="AP10" s="69"/>
      <c r="AQ10" s="660">
        <f t="shared" si="13"/>
        <v>2016</v>
      </c>
      <c r="AR10" s="592" t="s">
        <v>561</v>
      </c>
      <c r="AS10" s="632">
        <f t="shared" si="9"/>
        <v>1</v>
      </c>
      <c r="AT10" s="157">
        <f t="shared" si="10"/>
        <v>128324.29848326411</v>
      </c>
      <c r="AU10" s="592" t="s">
        <v>582</v>
      </c>
      <c r="AV10" s="249">
        <f t="shared" si="7"/>
        <v>33084.47556666667</v>
      </c>
      <c r="AW10" s="249">
        <f t="shared" si="8"/>
        <v>161408.77404993077</v>
      </c>
      <c r="AX10" s="69"/>
      <c r="AY10" s="69"/>
      <c r="AZ10" s="69"/>
      <c r="BA10" s="69"/>
      <c r="BB10" s="69"/>
      <c r="BC10" s="69"/>
      <c r="BD10" s="69"/>
      <c r="BE10" s="69"/>
      <c r="BF10" s="69"/>
      <c r="BG10" s="69"/>
    </row>
    <row r="11" spans="1:59" ht="12.75">
      <c r="A11" s="246" t="s">
        <v>238</v>
      </c>
      <c r="B11" s="316">
        <f>CalcoloA!N39</f>
        <v>21</v>
      </c>
      <c r="C11" s="248">
        <f>AC4</f>
        <v>1576.2916666666667</v>
      </c>
      <c r="D11" s="248">
        <v>0</v>
      </c>
      <c r="E11" s="249">
        <f>C11+D11</f>
        <v>1576.2916666666667</v>
      </c>
      <c r="F11" s="248">
        <f>VLOOKUP(A7,W42:Y51,2)</f>
        <v>532.01</v>
      </c>
      <c r="G11" s="249">
        <f>SUM(E11:F11)</f>
        <v>2108.3016666666667</v>
      </c>
      <c r="H11" s="249">
        <f>E11*0.18</f>
        <v>283.7325</v>
      </c>
      <c r="I11" s="249">
        <f>(G11+H11)/L11*M11</f>
        <v>2392.034166666667</v>
      </c>
      <c r="J11" s="248">
        <f>T55</f>
        <v>257.5</v>
      </c>
      <c r="K11" s="249">
        <f aca="true" t="shared" si="19" ref="K11:K22">J11/L11*M11</f>
        <v>257.5</v>
      </c>
      <c r="L11" s="121">
        <f>VLOOKUP(A7,W42:Z51,4)</f>
        <v>24</v>
      </c>
      <c r="M11" s="250">
        <f>L11</f>
        <v>24</v>
      </c>
      <c r="N11" s="69"/>
      <c r="O11" s="651">
        <v>2013</v>
      </c>
      <c r="P11" s="489">
        <v>1.001643</v>
      </c>
      <c r="Q11" s="69"/>
      <c r="R11" s="667" t="s">
        <v>613</v>
      </c>
      <c r="S11" s="69"/>
      <c r="T11" s="651">
        <f t="shared" si="14"/>
        <v>2015</v>
      </c>
      <c r="U11" s="146">
        <f t="shared" si="11"/>
        <v>0</v>
      </c>
      <c r="V11" s="146">
        <f>K49</f>
        <v>3090</v>
      </c>
      <c r="W11" s="146">
        <f t="shared" si="12"/>
        <v>3090</v>
      </c>
      <c r="X11" s="146">
        <f>H49</f>
        <v>3728.4714</v>
      </c>
      <c r="Y11" s="251">
        <f t="shared" si="15"/>
        <v>-638.4713999999999</v>
      </c>
      <c r="Z11" s="251">
        <f t="shared" si="16"/>
        <v>0</v>
      </c>
      <c r="AA11" s="69"/>
      <c r="AB11" s="69"/>
      <c r="AC11" s="69"/>
      <c r="AD11" s="69"/>
      <c r="AE11" s="243">
        <f t="shared" si="0"/>
        <v>2020</v>
      </c>
      <c r="AF11" s="256">
        <f>IF(G152&gt;0,G152,G148)*N114</f>
        <v>0</v>
      </c>
      <c r="AG11" s="256">
        <f t="shared" si="1"/>
        <v>0</v>
      </c>
      <c r="AH11" s="256">
        <f t="shared" si="2"/>
        <v>0</v>
      </c>
      <c r="AI11" s="69"/>
      <c r="AJ11" s="243">
        <f t="shared" si="5"/>
        <v>2019</v>
      </c>
      <c r="AK11" s="256"/>
      <c r="AL11" s="256">
        <f t="shared" si="18"/>
        <v>0</v>
      </c>
      <c r="AM11" s="256">
        <f t="shared" si="4"/>
        <v>0</v>
      </c>
      <c r="AN11" s="256">
        <f t="shared" si="6"/>
        <v>0</v>
      </c>
      <c r="AO11" s="69"/>
      <c r="AP11" s="69"/>
      <c r="AQ11" s="660">
        <f t="shared" si="13"/>
        <v>2017</v>
      </c>
      <c r="AR11" s="592" t="s">
        <v>579</v>
      </c>
      <c r="AS11" s="632">
        <f t="shared" si="9"/>
        <v>1</v>
      </c>
      <c r="AT11" s="157">
        <f t="shared" si="10"/>
        <v>161408.77404993077</v>
      </c>
      <c r="AU11" s="592" t="s">
        <v>580</v>
      </c>
      <c r="AV11" s="249">
        <f t="shared" si="7"/>
        <v>22056.317044444444</v>
      </c>
      <c r="AW11" s="249">
        <f t="shared" si="8"/>
        <v>183465.0910943752</v>
      </c>
      <c r="AX11" s="69"/>
      <c r="AY11" s="69"/>
      <c r="AZ11" s="69"/>
      <c r="BA11" s="69"/>
      <c r="BB11" s="69"/>
      <c r="BC11" s="69"/>
      <c r="BD11" s="69"/>
      <c r="BE11" s="69"/>
      <c r="BF11" s="69"/>
      <c r="BG11" s="69"/>
    </row>
    <row r="12" spans="1:59" ht="12.75">
      <c r="A12" s="246" t="s">
        <v>239</v>
      </c>
      <c r="B12" s="247"/>
      <c r="C12" s="248">
        <f aca="true" t="shared" si="20" ref="C12:C22">C11</f>
        <v>1576.2916666666667</v>
      </c>
      <c r="D12" s="248">
        <f aca="true" t="shared" si="21" ref="D12:D22">D11</f>
        <v>0</v>
      </c>
      <c r="E12" s="249">
        <f aca="true" t="shared" si="22" ref="E12:E22">C12+D12</f>
        <v>1576.2916666666667</v>
      </c>
      <c r="F12" s="248">
        <f>F11</f>
        <v>532.01</v>
      </c>
      <c r="G12" s="249">
        <f aca="true" t="shared" si="23" ref="G12:G22">SUM(E12:F12)</f>
        <v>2108.3016666666667</v>
      </c>
      <c r="H12" s="249">
        <f aca="true" t="shared" si="24" ref="H12:H21">E12*0.18</f>
        <v>283.7325</v>
      </c>
      <c r="I12" s="249">
        <f aca="true" t="shared" si="25" ref="I12:I22">(G12+H12)/L12*M12</f>
        <v>2392.034166666667</v>
      </c>
      <c r="J12" s="248">
        <f>J11</f>
        <v>257.5</v>
      </c>
      <c r="K12" s="249">
        <f t="shared" si="19"/>
        <v>257.5</v>
      </c>
      <c r="L12" s="121">
        <f>L11</f>
        <v>24</v>
      </c>
      <c r="M12" s="250">
        <f>M11</f>
        <v>24</v>
      </c>
      <c r="N12" s="69"/>
      <c r="O12" s="651">
        <f aca="true" t="shared" si="26" ref="O12:O23">O11+1</f>
        <v>2014</v>
      </c>
      <c r="P12" s="493">
        <v>1</v>
      </c>
      <c r="Q12" s="69"/>
      <c r="R12" s="667" t="s">
        <v>604</v>
      </c>
      <c r="S12" s="69"/>
      <c r="T12" s="651">
        <f t="shared" si="14"/>
        <v>2016</v>
      </c>
      <c r="U12" s="146">
        <f t="shared" si="11"/>
        <v>0</v>
      </c>
      <c r="V12" s="146">
        <f>K62</f>
        <v>3090</v>
      </c>
      <c r="W12" s="146">
        <f t="shared" si="12"/>
        <v>3090</v>
      </c>
      <c r="X12" s="146">
        <f>H62</f>
        <v>3728.4714</v>
      </c>
      <c r="Y12" s="251">
        <f t="shared" si="15"/>
        <v>-638.4713999999999</v>
      </c>
      <c r="Z12" s="251">
        <f t="shared" si="16"/>
        <v>0</v>
      </c>
      <c r="AA12" s="69"/>
      <c r="AB12" s="69"/>
      <c r="AC12" s="139"/>
      <c r="AD12" s="69"/>
      <c r="AE12" s="243">
        <f t="shared" si="0"/>
        <v>2021</v>
      </c>
      <c r="AF12" s="256">
        <f>IF(G165&gt;0,G165,G161)*N127</f>
        <v>0</v>
      </c>
      <c r="AG12" s="256">
        <f t="shared" si="1"/>
        <v>0</v>
      </c>
      <c r="AH12" s="256">
        <f t="shared" si="2"/>
        <v>0</v>
      </c>
      <c r="AI12" s="139"/>
      <c r="AJ12" s="243">
        <f t="shared" si="5"/>
        <v>2020</v>
      </c>
      <c r="AK12" s="256"/>
      <c r="AL12" s="256">
        <f t="shared" si="18"/>
        <v>0</v>
      </c>
      <c r="AM12" s="256">
        <f t="shared" si="4"/>
        <v>0</v>
      </c>
      <c r="AN12" s="256">
        <f t="shared" si="6"/>
        <v>0</v>
      </c>
      <c r="AO12" s="69"/>
      <c r="AP12" s="69"/>
      <c r="AQ12" s="660">
        <f t="shared" si="13"/>
        <v>2018</v>
      </c>
      <c r="AR12" s="592"/>
      <c r="AS12" s="632">
        <f t="shared" si="9"/>
        <v>1</v>
      </c>
      <c r="AT12" s="157">
        <f t="shared" si="10"/>
        <v>183465.0910943752</v>
      </c>
      <c r="AU12" s="592"/>
      <c r="AV12" s="249">
        <f t="shared" si="7"/>
        <v>0</v>
      </c>
      <c r="AW12" s="249">
        <f t="shared" si="8"/>
        <v>183465.0910943752</v>
      </c>
      <c r="AX12" s="69"/>
      <c r="AY12" s="69"/>
      <c r="AZ12" s="69"/>
      <c r="BA12" s="69"/>
      <c r="BB12" s="69"/>
      <c r="BC12" s="69"/>
      <c r="BD12" s="69"/>
      <c r="BE12" s="69"/>
      <c r="BF12" s="69"/>
      <c r="BG12" s="69"/>
    </row>
    <row r="13" spans="1:59" ht="12.75">
      <c r="A13" s="246" t="s">
        <v>240</v>
      </c>
      <c r="B13" s="247"/>
      <c r="C13" s="248">
        <f t="shared" si="20"/>
        <v>1576.2916666666667</v>
      </c>
      <c r="D13" s="248">
        <f t="shared" si="21"/>
        <v>0</v>
      </c>
      <c r="E13" s="249">
        <f t="shared" si="22"/>
        <v>1576.2916666666667</v>
      </c>
      <c r="F13" s="248">
        <f aca="true" t="shared" si="27" ref="F13:F22">F12</f>
        <v>532.01</v>
      </c>
      <c r="G13" s="249">
        <f t="shared" si="23"/>
        <v>2108.3016666666667</v>
      </c>
      <c r="H13" s="249">
        <f t="shared" si="24"/>
        <v>283.7325</v>
      </c>
      <c r="I13" s="249">
        <f t="shared" si="25"/>
        <v>2392.034166666667</v>
      </c>
      <c r="J13" s="248">
        <f aca="true" t="shared" si="28" ref="J13:J22">J12</f>
        <v>257.5</v>
      </c>
      <c r="K13" s="249">
        <f t="shared" si="19"/>
        <v>257.5</v>
      </c>
      <c r="L13" s="121">
        <f aca="true" t="shared" si="29" ref="L13:M22">L12</f>
        <v>24</v>
      </c>
      <c r="M13" s="250">
        <f t="shared" si="29"/>
        <v>24</v>
      </c>
      <c r="N13" s="69"/>
      <c r="O13" s="651">
        <f t="shared" si="26"/>
        <v>2015</v>
      </c>
      <c r="P13" s="493">
        <v>1.005058</v>
      </c>
      <c r="Q13" s="69"/>
      <c r="R13" s="667" t="s">
        <v>605</v>
      </c>
      <c r="S13" s="69"/>
      <c r="T13" s="651">
        <f t="shared" si="14"/>
        <v>2017</v>
      </c>
      <c r="U13" s="146">
        <f t="shared" si="11"/>
        <v>0</v>
      </c>
      <c r="V13" s="146">
        <f>K75</f>
        <v>2060</v>
      </c>
      <c r="W13" s="146">
        <f t="shared" si="12"/>
        <v>2060</v>
      </c>
      <c r="X13" s="146">
        <f>H75</f>
        <v>2485.6476</v>
      </c>
      <c r="Y13" s="251">
        <f t="shared" si="15"/>
        <v>-425.6475999999998</v>
      </c>
      <c r="Z13" s="251">
        <f t="shared" si="16"/>
        <v>0</v>
      </c>
      <c r="AA13" s="69"/>
      <c r="AB13" s="69"/>
      <c r="AC13" s="139"/>
      <c r="AD13" s="69"/>
      <c r="AE13" s="243">
        <f t="shared" si="0"/>
        <v>2022</v>
      </c>
      <c r="AF13" s="256">
        <f>IF(G178&gt;0,G178,G174)*N140</f>
        <v>0</v>
      </c>
      <c r="AG13" s="256">
        <f t="shared" si="1"/>
        <v>0</v>
      </c>
      <c r="AH13" s="256">
        <f t="shared" si="2"/>
        <v>0</v>
      </c>
      <c r="AI13" s="139"/>
      <c r="AJ13" s="243">
        <f t="shared" si="5"/>
        <v>2021</v>
      </c>
      <c r="AK13" s="256"/>
      <c r="AL13" s="256">
        <f t="shared" si="18"/>
        <v>0</v>
      </c>
      <c r="AM13" s="256">
        <f t="shared" si="4"/>
        <v>0</v>
      </c>
      <c r="AN13" s="256">
        <f t="shared" si="6"/>
        <v>0</v>
      </c>
      <c r="AO13" s="69"/>
      <c r="AP13" s="69"/>
      <c r="AQ13" s="660">
        <f t="shared" si="13"/>
        <v>2019</v>
      </c>
      <c r="AR13" s="592"/>
      <c r="AS13" s="632">
        <f t="shared" si="9"/>
        <v>1</v>
      </c>
      <c r="AT13" s="157">
        <f t="shared" si="10"/>
        <v>183465.0910943752</v>
      </c>
      <c r="AU13" s="592"/>
      <c r="AV13" s="249">
        <f t="shared" si="7"/>
        <v>0</v>
      </c>
      <c r="AW13" s="249">
        <f t="shared" si="8"/>
        <v>183465.0910943752</v>
      </c>
      <c r="AX13" s="69"/>
      <c r="AY13" s="69"/>
      <c r="AZ13" s="69"/>
      <c r="BA13" s="69"/>
      <c r="BB13" s="69"/>
      <c r="BC13" s="69"/>
      <c r="BD13" s="69"/>
      <c r="BE13" s="69"/>
      <c r="BF13" s="69"/>
      <c r="BG13" s="69"/>
    </row>
    <row r="14" spans="1:59" ht="12.75">
      <c r="A14" s="246" t="s">
        <v>241</v>
      </c>
      <c r="B14" s="247"/>
      <c r="C14" s="248">
        <f t="shared" si="20"/>
        <v>1576.2916666666667</v>
      </c>
      <c r="D14" s="248">
        <f t="shared" si="21"/>
        <v>0</v>
      </c>
      <c r="E14" s="249">
        <f t="shared" si="22"/>
        <v>1576.2916666666667</v>
      </c>
      <c r="F14" s="248">
        <f t="shared" si="27"/>
        <v>532.01</v>
      </c>
      <c r="G14" s="249">
        <f t="shared" si="23"/>
        <v>2108.3016666666667</v>
      </c>
      <c r="H14" s="249">
        <f t="shared" si="24"/>
        <v>283.7325</v>
      </c>
      <c r="I14" s="249">
        <f t="shared" si="25"/>
        <v>2392.034166666667</v>
      </c>
      <c r="J14" s="248">
        <f t="shared" si="28"/>
        <v>257.5</v>
      </c>
      <c r="K14" s="249">
        <f t="shared" si="19"/>
        <v>257.5</v>
      </c>
      <c r="L14" s="121">
        <f t="shared" si="29"/>
        <v>24</v>
      </c>
      <c r="M14" s="250">
        <f t="shared" si="29"/>
        <v>24</v>
      </c>
      <c r="N14" s="69"/>
      <c r="O14" s="651">
        <f t="shared" si="26"/>
        <v>2016</v>
      </c>
      <c r="P14" s="307">
        <v>1</v>
      </c>
      <c r="Q14" s="69"/>
      <c r="R14" s="667" t="s">
        <v>614</v>
      </c>
      <c r="S14" s="69"/>
      <c r="T14" s="651">
        <f t="shared" si="14"/>
        <v>2018</v>
      </c>
      <c r="U14" s="146">
        <f t="shared" si="11"/>
        <v>0</v>
      </c>
      <c r="V14" s="146">
        <f>K88</f>
        <v>0</v>
      </c>
      <c r="W14" s="146">
        <f t="shared" si="12"/>
        <v>0</v>
      </c>
      <c r="X14" s="146">
        <f>H88</f>
        <v>0</v>
      </c>
      <c r="Y14" s="251">
        <f t="shared" si="15"/>
        <v>0</v>
      </c>
      <c r="Z14" s="251">
        <f t="shared" si="16"/>
        <v>0</v>
      </c>
      <c r="AA14" s="69"/>
      <c r="AB14" s="69"/>
      <c r="AC14" s="69"/>
      <c r="AD14" s="69"/>
      <c r="AE14" s="69"/>
      <c r="AF14" s="69"/>
      <c r="AG14" s="69"/>
      <c r="AH14" s="69"/>
      <c r="AI14" s="69"/>
      <c r="AJ14" s="243">
        <f t="shared" si="5"/>
        <v>2022</v>
      </c>
      <c r="AK14" s="256"/>
      <c r="AL14" s="256">
        <f t="shared" si="18"/>
        <v>0</v>
      </c>
      <c r="AM14" s="256">
        <f t="shared" si="4"/>
        <v>0</v>
      </c>
      <c r="AN14" s="256">
        <f t="shared" si="6"/>
        <v>0</v>
      </c>
      <c r="AO14" s="69"/>
      <c r="AP14" s="69"/>
      <c r="AQ14" s="660">
        <f t="shared" si="13"/>
        <v>2020</v>
      </c>
      <c r="AR14" s="592"/>
      <c r="AS14" s="632">
        <f t="shared" si="9"/>
        <v>1</v>
      </c>
      <c r="AT14" s="157">
        <f t="shared" si="10"/>
        <v>183465.0910943752</v>
      </c>
      <c r="AU14" s="592"/>
      <c r="AV14" s="249">
        <f t="shared" si="7"/>
        <v>0</v>
      </c>
      <c r="AW14" s="249">
        <f t="shared" si="8"/>
        <v>183465.0910943752</v>
      </c>
      <c r="AX14" s="69"/>
      <c r="AY14" s="69"/>
      <c r="AZ14" s="69"/>
      <c r="BA14" s="69"/>
      <c r="BB14" s="69"/>
      <c r="BC14" s="69"/>
      <c r="BD14" s="69"/>
      <c r="BE14" s="69"/>
      <c r="BF14" s="69"/>
      <c r="BG14" s="69"/>
    </row>
    <row r="15" spans="1:59" ht="12.75">
      <c r="A15" s="246" t="s">
        <v>242</v>
      </c>
      <c r="B15" s="247"/>
      <c r="C15" s="248">
        <f t="shared" si="20"/>
        <v>1576.2916666666667</v>
      </c>
      <c r="D15" s="248">
        <f t="shared" si="21"/>
        <v>0</v>
      </c>
      <c r="E15" s="249">
        <f t="shared" si="22"/>
        <v>1576.2916666666667</v>
      </c>
      <c r="F15" s="248">
        <f t="shared" si="27"/>
        <v>532.01</v>
      </c>
      <c r="G15" s="249">
        <f t="shared" si="23"/>
        <v>2108.3016666666667</v>
      </c>
      <c r="H15" s="249">
        <f t="shared" si="24"/>
        <v>283.7325</v>
      </c>
      <c r="I15" s="249">
        <f t="shared" si="25"/>
        <v>2392.034166666667</v>
      </c>
      <c r="J15" s="248">
        <f t="shared" si="28"/>
        <v>257.5</v>
      </c>
      <c r="K15" s="249">
        <f t="shared" si="19"/>
        <v>257.5</v>
      </c>
      <c r="L15" s="121">
        <f t="shared" si="29"/>
        <v>24</v>
      </c>
      <c r="M15" s="250">
        <f t="shared" si="29"/>
        <v>24</v>
      </c>
      <c r="N15" s="69"/>
      <c r="O15" s="651">
        <f t="shared" si="26"/>
        <v>2017</v>
      </c>
      <c r="P15" s="307">
        <v>1</v>
      </c>
      <c r="Q15" s="69"/>
      <c r="R15" s="667" t="s">
        <v>615</v>
      </c>
      <c r="S15" s="69"/>
      <c r="T15" s="651">
        <f t="shared" si="14"/>
        <v>2019</v>
      </c>
      <c r="U15" s="146">
        <f t="shared" si="11"/>
        <v>0</v>
      </c>
      <c r="V15" s="146">
        <f>K101</f>
        <v>0</v>
      </c>
      <c r="W15" s="146">
        <f t="shared" si="12"/>
        <v>0</v>
      </c>
      <c r="X15" s="146">
        <f>H101</f>
        <v>0</v>
      </c>
      <c r="Y15" s="251">
        <f t="shared" si="15"/>
        <v>0</v>
      </c>
      <c r="Z15" s="251">
        <f t="shared" si="16"/>
        <v>0</v>
      </c>
      <c r="AA15" s="69"/>
      <c r="AB15" s="69"/>
      <c r="AC15" s="69"/>
      <c r="AD15" s="69"/>
      <c r="AE15" s="69"/>
      <c r="AF15" s="69"/>
      <c r="AG15" s="69"/>
      <c r="AH15" s="69"/>
      <c r="AI15" s="69"/>
      <c r="AJ15" s="243">
        <f t="shared" si="5"/>
        <v>2023</v>
      </c>
      <c r="AK15" s="256"/>
      <c r="AL15" s="256">
        <f t="shared" si="18"/>
        <v>0</v>
      </c>
      <c r="AM15" s="256">
        <f t="shared" si="4"/>
        <v>0</v>
      </c>
      <c r="AN15" s="256">
        <f t="shared" si="6"/>
        <v>0</v>
      </c>
      <c r="AO15" s="69"/>
      <c r="AP15" s="69"/>
      <c r="AQ15" s="660">
        <f t="shared" si="13"/>
        <v>2021</v>
      </c>
      <c r="AR15" s="592"/>
      <c r="AS15" s="632">
        <f t="shared" si="9"/>
        <v>1</v>
      </c>
      <c r="AT15" s="157">
        <f t="shared" si="10"/>
        <v>183465.0910943752</v>
      </c>
      <c r="AU15" s="592"/>
      <c r="AV15" s="249">
        <f t="shared" si="7"/>
        <v>0</v>
      </c>
      <c r="AW15" s="249">
        <f t="shared" si="8"/>
        <v>183465.0910943752</v>
      </c>
      <c r="AX15" s="69"/>
      <c r="AY15" s="69"/>
      <c r="AZ15" s="69"/>
      <c r="BA15" s="69"/>
      <c r="BB15" s="69"/>
      <c r="BC15" s="69"/>
      <c r="BD15" s="69"/>
      <c r="BE15" s="69"/>
      <c r="BF15" s="69"/>
      <c r="BG15" s="69"/>
    </row>
    <row r="16" spans="1:59" ht="12.75">
      <c r="A16" s="246" t="s">
        <v>243</v>
      </c>
      <c r="B16" s="247"/>
      <c r="C16" s="248">
        <f t="shared" si="20"/>
        <v>1576.2916666666667</v>
      </c>
      <c r="D16" s="248">
        <f t="shared" si="21"/>
        <v>0</v>
      </c>
      <c r="E16" s="249">
        <f t="shared" si="22"/>
        <v>1576.2916666666667</v>
      </c>
      <c r="F16" s="248">
        <f t="shared" si="27"/>
        <v>532.01</v>
      </c>
      <c r="G16" s="249">
        <f t="shared" si="23"/>
        <v>2108.3016666666667</v>
      </c>
      <c r="H16" s="249">
        <f t="shared" si="24"/>
        <v>283.7325</v>
      </c>
      <c r="I16" s="249">
        <f t="shared" si="25"/>
        <v>2392.034166666667</v>
      </c>
      <c r="J16" s="248">
        <f t="shared" si="28"/>
        <v>257.5</v>
      </c>
      <c r="K16" s="249">
        <f t="shared" si="19"/>
        <v>257.5</v>
      </c>
      <c r="L16" s="121">
        <f t="shared" si="29"/>
        <v>24</v>
      </c>
      <c r="M16" s="250">
        <f t="shared" si="29"/>
        <v>24</v>
      </c>
      <c r="N16" s="69"/>
      <c r="O16" s="651">
        <f t="shared" si="26"/>
        <v>2018</v>
      </c>
      <c r="P16" s="307">
        <v>1</v>
      </c>
      <c r="Q16" s="69"/>
      <c r="R16" s="667" t="s">
        <v>616</v>
      </c>
      <c r="S16" s="69"/>
      <c r="T16" s="651">
        <f t="shared" si="14"/>
        <v>2020</v>
      </c>
      <c r="U16" s="146">
        <f t="shared" si="11"/>
        <v>0</v>
      </c>
      <c r="V16" s="146">
        <f>K114</f>
        <v>0</v>
      </c>
      <c r="W16" s="146">
        <f t="shared" si="12"/>
        <v>0</v>
      </c>
      <c r="X16" s="146">
        <f>H114</f>
        <v>0</v>
      </c>
      <c r="Y16" s="251">
        <f t="shared" si="15"/>
        <v>0</v>
      </c>
      <c r="Z16" s="251">
        <f t="shared" si="16"/>
        <v>0</v>
      </c>
      <c r="AA16" s="69"/>
      <c r="AB16" s="69"/>
      <c r="AC16" s="69"/>
      <c r="AD16" s="69"/>
      <c r="AE16" s="69"/>
      <c r="AF16" s="69"/>
      <c r="AG16" s="69"/>
      <c r="AH16" s="69"/>
      <c r="AI16" s="69"/>
      <c r="AJ16" s="243">
        <f t="shared" si="5"/>
        <v>2024</v>
      </c>
      <c r="AK16" s="256"/>
      <c r="AL16" s="256">
        <f t="shared" si="18"/>
        <v>0</v>
      </c>
      <c r="AM16" s="256">
        <f t="shared" si="4"/>
        <v>0</v>
      </c>
      <c r="AN16" s="256">
        <f t="shared" si="6"/>
        <v>0</v>
      </c>
      <c r="AO16" s="69"/>
      <c r="AP16" s="69"/>
      <c r="AQ16" s="660">
        <f t="shared" si="13"/>
        <v>2022</v>
      </c>
      <c r="AR16" s="592"/>
      <c r="AS16" s="632">
        <f t="shared" si="9"/>
        <v>1</v>
      </c>
      <c r="AT16" s="157">
        <f t="shared" si="10"/>
        <v>183465.0910943752</v>
      </c>
      <c r="AU16" s="592"/>
      <c r="AV16" s="249">
        <f t="shared" si="7"/>
        <v>0</v>
      </c>
      <c r="AW16" s="249">
        <f t="shared" si="8"/>
        <v>183465.0910943752</v>
      </c>
      <c r="AX16" s="69"/>
      <c r="AY16" s="69"/>
      <c r="AZ16" s="69"/>
      <c r="BA16" s="69"/>
      <c r="BB16" s="69"/>
      <c r="BC16" s="69"/>
      <c r="BD16" s="69"/>
      <c r="BE16" s="69"/>
      <c r="BF16" s="69"/>
      <c r="BG16" s="69"/>
    </row>
    <row r="17" spans="1:59" ht="12.75">
      <c r="A17" s="246" t="s">
        <v>244</v>
      </c>
      <c r="B17" s="247"/>
      <c r="C17" s="248">
        <f t="shared" si="20"/>
        <v>1576.2916666666667</v>
      </c>
      <c r="D17" s="248">
        <f t="shared" si="21"/>
        <v>0</v>
      </c>
      <c r="E17" s="249">
        <f t="shared" si="22"/>
        <v>1576.2916666666667</v>
      </c>
      <c r="F17" s="248">
        <f t="shared" si="27"/>
        <v>532.01</v>
      </c>
      <c r="G17" s="249">
        <f t="shared" si="23"/>
        <v>2108.3016666666667</v>
      </c>
      <c r="H17" s="249">
        <f t="shared" si="24"/>
        <v>283.7325</v>
      </c>
      <c r="I17" s="249">
        <f t="shared" si="25"/>
        <v>2392.034166666667</v>
      </c>
      <c r="J17" s="248">
        <f t="shared" si="28"/>
        <v>257.5</v>
      </c>
      <c r="K17" s="249">
        <f t="shared" si="19"/>
        <v>257.5</v>
      </c>
      <c r="L17" s="121">
        <f t="shared" si="29"/>
        <v>24</v>
      </c>
      <c r="M17" s="250">
        <f t="shared" si="29"/>
        <v>24</v>
      </c>
      <c r="N17" s="69"/>
      <c r="O17" s="651">
        <f t="shared" si="26"/>
        <v>2019</v>
      </c>
      <c r="P17" s="307">
        <v>1</v>
      </c>
      <c r="Q17" s="69"/>
      <c r="R17" s="667" t="s">
        <v>617</v>
      </c>
      <c r="S17" s="69"/>
      <c r="T17" s="651">
        <f t="shared" si="14"/>
        <v>2021</v>
      </c>
      <c r="U17" s="146">
        <f t="shared" si="11"/>
        <v>0</v>
      </c>
      <c r="V17" s="146">
        <f>K127</f>
        <v>0</v>
      </c>
      <c r="W17" s="146">
        <f t="shared" si="12"/>
        <v>0</v>
      </c>
      <c r="X17" s="146"/>
      <c r="Y17" s="251">
        <f t="shared" si="15"/>
        <v>0</v>
      </c>
      <c r="Z17" s="251">
        <f t="shared" si="16"/>
        <v>0</v>
      </c>
      <c r="AA17" s="69"/>
      <c r="AB17" s="69"/>
      <c r="AC17" s="69"/>
      <c r="AD17" s="69"/>
      <c r="AE17" s="69"/>
      <c r="AF17" s="69"/>
      <c r="AG17" s="69"/>
      <c r="AH17" s="69"/>
      <c r="AI17" s="69"/>
      <c r="AJ17" s="243">
        <f t="shared" si="5"/>
        <v>2025</v>
      </c>
      <c r="AK17" s="256"/>
      <c r="AL17" s="256">
        <f t="shared" si="18"/>
        <v>0</v>
      </c>
      <c r="AM17" s="256">
        <f t="shared" si="4"/>
        <v>0</v>
      </c>
      <c r="AN17" s="256">
        <f t="shared" si="6"/>
        <v>0</v>
      </c>
      <c r="AO17" s="69"/>
      <c r="AP17" s="69"/>
      <c r="AQ17" s="660">
        <f t="shared" si="13"/>
        <v>2023</v>
      </c>
      <c r="AR17" s="592"/>
      <c r="AS17" s="632">
        <f t="shared" si="9"/>
        <v>1</v>
      </c>
      <c r="AT17" s="157">
        <f t="shared" si="10"/>
        <v>183465.0910943752</v>
      </c>
      <c r="AU17" s="592"/>
      <c r="AV17" s="249">
        <f t="shared" si="7"/>
        <v>0</v>
      </c>
      <c r="AW17" s="249">
        <f t="shared" si="8"/>
        <v>183465.0910943752</v>
      </c>
      <c r="AX17" s="69"/>
      <c r="AY17" s="69"/>
      <c r="AZ17" s="69"/>
      <c r="BA17" s="69"/>
      <c r="BB17" s="69"/>
      <c r="BC17" s="69"/>
      <c r="BD17" s="69"/>
      <c r="BE17" s="69"/>
      <c r="BF17" s="69"/>
      <c r="BG17" s="69"/>
    </row>
    <row r="18" spans="1:59" ht="12.75">
      <c r="A18" s="246" t="s">
        <v>245</v>
      </c>
      <c r="B18" s="247"/>
      <c r="C18" s="248">
        <f t="shared" si="20"/>
        <v>1576.2916666666667</v>
      </c>
      <c r="D18" s="248">
        <f t="shared" si="21"/>
        <v>0</v>
      </c>
      <c r="E18" s="249">
        <f t="shared" si="22"/>
        <v>1576.2916666666667</v>
      </c>
      <c r="F18" s="248">
        <f t="shared" si="27"/>
        <v>532.01</v>
      </c>
      <c r="G18" s="249">
        <f t="shared" si="23"/>
        <v>2108.3016666666667</v>
      </c>
      <c r="H18" s="249">
        <f t="shared" si="24"/>
        <v>283.7325</v>
      </c>
      <c r="I18" s="249">
        <f t="shared" si="25"/>
        <v>2392.034166666667</v>
      </c>
      <c r="J18" s="248">
        <f t="shared" si="28"/>
        <v>257.5</v>
      </c>
      <c r="K18" s="249">
        <f t="shared" si="19"/>
        <v>257.5</v>
      </c>
      <c r="L18" s="121">
        <f t="shared" si="29"/>
        <v>24</v>
      </c>
      <c r="M18" s="250">
        <f t="shared" si="29"/>
        <v>24</v>
      </c>
      <c r="N18" s="69"/>
      <c r="O18" s="651">
        <f t="shared" si="26"/>
        <v>2020</v>
      </c>
      <c r="P18" s="307">
        <v>1</v>
      </c>
      <c r="Q18" s="69"/>
      <c r="R18" s="69"/>
      <c r="S18" s="69"/>
      <c r="T18" s="651">
        <f t="shared" si="14"/>
        <v>2022</v>
      </c>
      <c r="U18" s="146">
        <f t="shared" si="11"/>
        <v>0</v>
      </c>
      <c r="V18" s="146">
        <f>K140</f>
        <v>0</v>
      </c>
      <c r="W18" s="146">
        <f t="shared" si="12"/>
        <v>0</v>
      </c>
      <c r="X18" s="146"/>
      <c r="Y18" s="251">
        <f t="shared" si="15"/>
        <v>0</v>
      </c>
      <c r="Z18" s="251">
        <f t="shared" si="16"/>
        <v>0</v>
      </c>
      <c r="AA18" s="69"/>
      <c r="AB18" s="69"/>
      <c r="AC18" s="139"/>
      <c r="AD18" s="139"/>
      <c r="AE18" s="139"/>
      <c r="AF18" s="139"/>
      <c r="AG18" s="139"/>
      <c r="AH18" s="139"/>
      <c r="AI18" s="139"/>
      <c r="AJ18" s="139"/>
      <c r="AK18" s="139"/>
      <c r="AL18" s="139"/>
      <c r="AM18" s="139"/>
      <c r="AN18" s="139"/>
      <c r="AO18" s="69"/>
      <c r="AP18" s="69"/>
      <c r="AQ18" s="660">
        <f t="shared" si="13"/>
        <v>2024</v>
      </c>
      <c r="AR18" s="592"/>
      <c r="AS18" s="632">
        <f t="shared" si="9"/>
        <v>1</v>
      </c>
      <c r="AT18" s="157">
        <f t="shared" si="10"/>
        <v>183465.0910943752</v>
      </c>
      <c r="AU18" s="592"/>
      <c r="AV18" s="249">
        <f t="shared" si="7"/>
        <v>0</v>
      </c>
      <c r="AW18" s="249">
        <f t="shared" si="8"/>
        <v>183465.0910943752</v>
      </c>
      <c r="AX18" s="69"/>
      <c r="AY18" s="69"/>
      <c r="AZ18" s="69"/>
      <c r="BA18" s="69"/>
      <c r="BB18" s="69"/>
      <c r="BC18" s="69"/>
      <c r="BD18" s="69"/>
      <c r="BE18" s="69"/>
      <c r="BF18" s="69"/>
      <c r="BG18" s="69"/>
    </row>
    <row r="19" spans="1:59" ht="12.75">
      <c r="A19" s="246" t="s">
        <v>246</v>
      </c>
      <c r="B19" s="247"/>
      <c r="C19" s="248">
        <f>C18</f>
        <v>1576.2916666666667</v>
      </c>
      <c r="D19" s="248">
        <f>D18</f>
        <v>0</v>
      </c>
      <c r="E19" s="249">
        <f>C19+D19</f>
        <v>1576.2916666666667</v>
      </c>
      <c r="F19" s="248">
        <f t="shared" si="27"/>
        <v>532.01</v>
      </c>
      <c r="G19" s="249">
        <f t="shared" si="23"/>
        <v>2108.3016666666667</v>
      </c>
      <c r="H19" s="249">
        <f t="shared" si="24"/>
        <v>283.7325</v>
      </c>
      <c r="I19" s="249">
        <f t="shared" si="25"/>
        <v>2392.034166666667</v>
      </c>
      <c r="J19" s="248">
        <f t="shared" si="28"/>
        <v>257.5</v>
      </c>
      <c r="K19" s="249">
        <f t="shared" si="19"/>
        <v>257.5</v>
      </c>
      <c r="L19" s="121">
        <f t="shared" si="29"/>
        <v>24</v>
      </c>
      <c r="M19" s="250">
        <f t="shared" si="29"/>
        <v>24</v>
      </c>
      <c r="N19" s="69"/>
      <c r="O19" s="651">
        <f t="shared" si="26"/>
        <v>2021</v>
      </c>
      <c r="P19" s="307">
        <v>1</v>
      </c>
      <c r="Q19" s="69"/>
      <c r="R19" s="69"/>
      <c r="S19" s="69"/>
      <c r="T19" s="651">
        <f t="shared" si="14"/>
        <v>2023</v>
      </c>
      <c r="U19" s="146">
        <f t="shared" si="11"/>
        <v>0</v>
      </c>
      <c r="V19" s="146">
        <f>K153</f>
        <v>0</v>
      </c>
      <c r="W19" s="146">
        <f t="shared" si="12"/>
        <v>0</v>
      </c>
      <c r="X19" s="146"/>
      <c r="Y19" s="251">
        <f t="shared" si="15"/>
        <v>0</v>
      </c>
      <c r="Z19" s="251">
        <f t="shared" si="16"/>
        <v>0</v>
      </c>
      <c r="AA19" s="69"/>
      <c r="AB19" s="69"/>
      <c r="AC19" s="139"/>
      <c r="AD19" s="139"/>
      <c r="AE19" s="139"/>
      <c r="AF19" s="139"/>
      <c r="AG19" s="139"/>
      <c r="AH19" s="139"/>
      <c r="AI19" s="139"/>
      <c r="AJ19" s="139"/>
      <c r="AK19" s="139"/>
      <c r="AL19" s="139"/>
      <c r="AM19" s="139"/>
      <c r="AN19" s="139"/>
      <c r="AO19" s="69"/>
      <c r="AP19" s="69"/>
      <c r="AQ19" s="660">
        <f t="shared" si="13"/>
        <v>2025</v>
      </c>
      <c r="AR19" s="592"/>
      <c r="AS19" s="632">
        <f t="shared" si="9"/>
        <v>1</v>
      </c>
      <c r="AT19" s="157">
        <f t="shared" si="10"/>
        <v>183465.0910943752</v>
      </c>
      <c r="AU19" s="592"/>
      <c r="AV19" s="249">
        <f t="shared" si="7"/>
        <v>0</v>
      </c>
      <c r="AW19" s="383" t="s">
        <v>0</v>
      </c>
      <c r="AX19" s="69"/>
      <c r="AY19" s="69"/>
      <c r="AZ19" s="69"/>
      <c r="BA19" s="69"/>
      <c r="BB19" s="69"/>
      <c r="BC19" s="69"/>
      <c r="BD19" s="69"/>
      <c r="BE19" s="69"/>
      <c r="BF19" s="69"/>
      <c r="BG19" s="69"/>
    </row>
    <row r="20" spans="1:59" ht="15.75">
      <c r="A20" s="246" t="s">
        <v>247</v>
      </c>
      <c r="B20" s="247"/>
      <c r="C20" s="248">
        <f t="shared" si="20"/>
        <v>1576.2916666666667</v>
      </c>
      <c r="D20" s="248">
        <f t="shared" si="21"/>
        <v>0</v>
      </c>
      <c r="E20" s="249">
        <f t="shared" si="22"/>
        <v>1576.2916666666667</v>
      </c>
      <c r="F20" s="248">
        <f t="shared" si="27"/>
        <v>532.01</v>
      </c>
      <c r="G20" s="249">
        <f t="shared" si="23"/>
        <v>2108.3016666666667</v>
      </c>
      <c r="H20" s="249">
        <f t="shared" si="24"/>
        <v>283.7325</v>
      </c>
      <c r="I20" s="249">
        <f t="shared" si="25"/>
        <v>2392.034166666667</v>
      </c>
      <c r="J20" s="248">
        <f t="shared" si="28"/>
        <v>257.5</v>
      </c>
      <c r="K20" s="249">
        <f t="shared" si="19"/>
        <v>257.5</v>
      </c>
      <c r="L20" s="121">
        <f t="shared" si="29"/>
        <v>24</v>
      </c>
      <c r="M20" s="250">
        <f t="shared" si="29"/>
        <v>24</v>
      </c>
      <c r="N20" s="69"/>
      <c r="O20" s="651">
        <f t="shared" si="26"/>
        <v>2022</v>
      </c>
      <c r="P20" s="307">
        <v>1</v>
      </c>
      <c r="Q20" s="69"/>
      <c r="R20" s="69"/>
      <c r="S20" s="69"/>
      <c r="T20" s="651">
        <f t="shared" si="14"/>
        <v>2024</v>
      </c>
      <c r="U20" s="146">
        <f t="shared" si="11"/>
        <v>0</v>
      </c>
      <c r="V20" s="146">
        <f>K166</f>
        <v>0</v>
      </c>
      <c r="W20" s="146">
        <f t="shared" si="12"/>
        <v>0</v>
      </c>
      <c r="X20" s="146"/>
      <c r="Y20" s="251">
        <f t="shared" si="15"/>
        <v>0</v>
      </c>
      <c r="Z20" s="251">
        <f t="shared" si="16"/>
        <v>0</v>
      </c>
      <c r="AA20" s="69"/>
      <c r="AB20" s="69"/>
      <c r="AC20" s="69"/>
      <c r="AD20" s="69"/>
      <c r="AE20" s="69"/>
      <c r="AF20" s="69"/>
      <c r="AG20" s="69"/>
      <c r="AH20" s="69"/>
      <c r="AI20" s="69"/>
      <c r="AJ20" s="69"/>
      <c r="AK20" s="69"/>
      <c r="AL20" s="69"/>
      <c r="AM20" s="69"/>
      <c r="AN20" s="69"/>
      <c r="AO20" s="69"/>
      <c r="AP20" s="69"/>
      <c r="AQ20" s="634"/>
      <c r="AR20" s="635"/>
      <c r="AS20" s="636"/>
      <c r="AT20" s="232" t="s">
        <v>250</v>
      </c>
      <c r="AU20" s="633"/>
      <c r="AV20" s="254"/>
      <c r="AW20" s="255">
        <f>VLOOKUP(A1,AQ6:AW19,7)*0.33</f>
        <v>60543.48006114382</v>
      </c>
      <c r="AX20" s="69"/>
      <c r="AY20" s="69"/>
      <c r="AZ20" s="69"/>
      <c r="BA20" s="69"/>
      <c r="BB20" s="69"/>
      <c r="BC20" s="69"/>
      <c r="BD20" s="69"/>
      <c r="BE20" s="69"/>
      <c r="BF20" s="69"/>
      <c r="BG20" s="69"/>
    </row>
    <row r="21" spans="1:59" ht="12.75">
      <c r="A21" s="246" t="s">
        <v>248</v>
      </c>
      <c r="B21" s="247"/>
      <c r="C21" s="248">
        <f t="shared" si="20"/>
        <v>1576.2916666666667</v>
      </c>
      <c r="D21" s="248">
        <f t="shared" si="21"/>
        <v>0</v>
      </c>
      <c r="E21" s="249">
        <f t="shared" si="22"/>
        <v>1576.2916666666667</v>
      </c>
      <c r="F21" s="248">
        <f t="shared" si="27"/>
        <v>532.01</v>
      </c>
      <c r="G21" s="249">
        <f t="shared" si="23"/>
        <v>2108.3016666666667</v>
      </c>
      <c r="H21" s="249">
        <f t="shared" si="24"/>
        <v>283.7325</v>
      </c>
      <c r="I21" s="249">
        <f t="shared" si="25"/>
        <v>2392.034166666667</v>
      </c>
      <c r="J21" s="248">
        <f t="shared" si="28"/>
        <v>257.5</v>
      </c>
      <c r="K21" s="249">
        <f t="shared" si="19"/>
        <v>257.5</v>
      </c>
      <c r="L21" s="121">
        <f t="shared" si="29"/>
        <v>24</v>
      </c>
      <c r="M21" s="250">
        <f t="shared" si="29"/>
        <v>24</v>
      </c>
      <c r="N21" s="69"/>
      <c r="O21" s="651">
        <f t="shared" si="26"/>
        <v>2023</v>
      </c>
      <c r="P21" s="307">
        <v>1</v>
      </c>
      <c r="Q21" s="69"/>
      <c r="R21" s="69"/>
      <c r="S21" s="69"/>
      <c r="T21" s="651">
        <f t="shared" si="14"/>
        <v>2025</v>
      </c>
      <c r="U21" s="146">
        <f t="shared" si="11"/>
        <v>0</v>
      </c>
      <c r="V21" s="146">
        <f>K179</f>
        <v>0</v>
      </c>
      <c r="W21" s="146">
        <f t="shared" si="12"/>
        <v>0</v>
      </c>
      <c r="X21" s="146"/>
      <c r="Y21" s="251">
        <f t="shared" si="15"/>
        <v>0</v>
      </c>
      <c r="Z21" s="251">
        <f t="shared" si="16"/>
        <v>0</v>
      </c>
      <c r="AA21" s="69"/>
      <c r="AB21" s="69"/>
      <c r="AC21" s="69"/>
      <c r="AD21" s="69"/>
      <c r="AE21" s="69"/>
      <c r="AF21" s="69"/>
      <c r="AG21" s="69"/>
      <c r="AH21" s="69"/>
      <c r="AI21" s="69"/>
      <c r="AJ21" s="69"/>
      <c r="AK21" s="69"/>
      <c r="AL21" s="69"/>
      <c r="AM21" s="69"/>
      <c r="AN21" s="69"/>
      <c r="AO21" s="69"/>
      <c r="AP21" s="69"/>
      <c r="AQ21" s="652" t="s">
        <v>581</v>
      </c>
      <c r="AR21" s="608"/>
      <c r="AS21" s="608"/>
      <c r="AT21" s="608"/>
      <c r="AU21" s="608"/>
      <c r="AV21" s="608"/>
      <c r="AW21" s="623"/>
      <c r="AX21" s="69"/>
      <c r="AY21" s="69"/>
      <c r="AZ21" s="69"/>
      <c r="BA21" s="69"/>
      <c r="BB21" s="69"/>
      <c r="BC21" s="69"/>
      <c r="BD21" s="69"/>
      <c r="BE21" s="69"/>
      <c r="BF21" s="69"/>
      <c r="BG21" s="69"/>
    </row>
    <row r="22" spans="1:59" ht="12.75">
      <c r="A22" s="246" t="s">
        <v>249</v>
      </c>
      <c r="B22" s="247"/>
      <c r="C22" s="248">
        <f t="shared" si="20"/>
        <v>1576.2916666666667</v>
      </c>
      <c r="D22" s="248">
        <f t="shared" si="21"/>
        <v>0</v>
      </c>
      <c r="E22" s="249">
        <f t="shared" si="22"/>
        <v>1576.2916666666667</v>
      </c>
      <c r="F22" s="248">
        <f t="shared" si="27"/>
        <v>532.01</v>
      </c>
      <c r="G22" s="249">
        <f t="shared" si="23"/>
        <v>2108.3016666666667</v>
      </c>
      <c r="H22" s="249">
        <f>E22*0.18</f>
        <v>283.7325</v>
      </c>
      <c r="I22" s="249">
        <f t="shared" si="25"/>
        <v>2392.034166666667</v>
      </c>
      <c r="J22" s="248">
        <f t="shared" si="28"/>
        <v>257.5</v>
      </c>
      <c r="K22" s="249">
        <f t="shared" si="19"/>
        <v>257.5</v>
      </c>
      <c r="L22" s="121">
        <f t="shared" si="29"/>
        <v>24</v>
      </c>
      <c r="M22" s="250">
        <f t="shared" si="29"/>
        <v>24</v>
      </c>
      <c r="N22" s="69"/>
      <c r="O22" s="651">
        <f t="shared" si="26"/>
        <v>2024</v>
      </c>
      <c r="P22" s="307">
        <v>1</v>
      </c>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53" t="s">
        <v>597</v>
      </c>
      <c r="AR22" s="612"/>
      <c r="AS22" s="612"/>
      <c r="AT22" s="612"/>
      <c r="AU22" s="612"/>
      <c r="AV22" s="612"/>
      <c r="AW22" s="613"/>
      <c r="AX22" s="69"/>
      <c r="AY22" s="69"/>
      <c r="AZ22" s="69"/>
      <c r="BA22" s="69"/>
      <c r="BB22" s="69"/>
      <c r="BC22" s="69"/>
      <c r="BD22" s="69"/>
      <c r="BE22" s="69"/>
      <c r="BF22" s="69"/>
      <c r="BG22" s="69"/>
    </row>
    <row r="23" spans="1:59" ht="12.75">
      <c r="A23" s="243">
        <f>A10+1</f>
        <v>2013</v>
      </c>
      <c r="B23" s="252"/>
      <c r="C23" s="252"/>
      <c r="D23" s="252"/>
      <c r="E23" s="320">
        <f>SUM(E24:E35)</f>
        <v>18915.5</v>
      </c>
      <c r="F23" s="17"/>
      <c r="G23" s="320">
        <f aca="true" t="shared" si="30" ref="G23:M23">SUM(G24:G35)</f>
        <v>25299.62</v>
      </c>
      <c r="H23" s="320">
        <f t="shared" si="30"/>
        <v>3404.7900000000004</v>
      </c>
      <c r="I23" s="320">
        <f t="shared" si="30"/>
        <v>28704.410000000007</v>
      </c>
      <c r="J23" s="244">
        <f t="shared" si="30"/>
        <v>3090</v>
      </c>
      <c r="K23" s="320">
        <f t="shared" si="30"/>
        <v>3090</v>
      </c>
      <c r="L23" s="245">
        <f t="shared" si="30"/>
        <v>288</v>
      </c>
      <c r="M23" s="245">
        <f t="shared" si="30"/>
        <v>288</v>
      </c>
      <c r="N23" s="725">
        <f>ROUND((M23/L23),5)</f>
        <v>1</v>
      </c>
      <c r="O23" s="651">
        <f t="shared" si="26"/>
        <v>2025</v>
      </c>
      <c r="P23" s="307">
        <v>1</v>
      </c>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53" t="s">
        <v>553</v>
      </c>
      <c r="AR23" s="654"/>
      <c r="AS23" s="654"/>
      <c r="AT23" s="654"/>
      <c r="AU23" s="654"/>
      <c r="AV23" s="612"/>
      <c r="AW23" s="613"/>
      <c r="AX23" s="69"/>
      <c r="AY23" s="69"/>
      <c r="AZ23" s="69"/>
      <c r="BA23" s="69"/>
      <c r="BB23" s="69"/>
      <c r="BC23" s="69"/>
      <c r="BD23" s="69"/>
      <c r="BE23" s="69"/>
      <c r="BF23" s="69"/>
      <c r="BG23" s="69"/>
    </row>
    <row r="24" spans="1:59" ht="12.75">
      <c r="A24" s="246" t="s">
        <v>238</v>
      </c>
      <c r="B24" s="316">
        <f>CalcoloA!N38</f>
        <v>21</v>
      </c>
      <c r="C24" s="248">
        <f>AC5</f>
        <v>1576.2916666666667</v>
      </c>
      <c r="D24" s="248">
        <f>D22</f>
        <v>0</v>
      </c>
      <c r="E24" s="249">
        <f>C24+D24</f>
        <v>1576.2916666666667</v>
      </c>
      <c r="F24" s="248">
        <f>F22</f>
        <v>532.01</v>
      </c>
      <c r="G24" s="249">
        <f>SUM(E24:F24)</f>
        <v>2108.3016666666667</v>
      </c>
      <c r="H24" s="249">
        <f>E24*0.18</f>
        <v>283.7325</v>
      </c>
      <c r="I24" s="249">
        <f>(G24+H24)/L24*M24</f>
        <v>2392.034166666667</v>
      </c>
      <c r="J24" s="248">
        <f>J22</f>
        <v>257.5</v>
      </c>
      <c r="K24" s="249">
        <f>J24/L24*M24</f>
        <v>257.5</v>
      </c>
      <c r="L24" s="121">
        <f>L22</f>
        <v>24</v>
      </c>
      <c r="M24" s="250">
        <f>M22</f>
        <v>24</v>
      </c>
      <c r="N24" s="69"/>
      <c r="O24" s="135"/>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53" t="s">
        <v>554</v>
      </c>
      <c r="AR24" s="654"/>
      <c r="AS24" s="654"/>
      <c r="AT24" s="654"/>
      <c r="AU24" s="654"/>
      <c r="AV24" s="612"/>
      <c r="AW24" s="613"/>
      <c r="AX24" s="69"/>
      <c r="AY24" s="69"/>
      <c r="AZ24" s="69"/>
      <c r="BA24" s="69"/>
      <c r="BB24" s="69"/>
      <c r="BC24" s="69"/>
      <c r="BD24" s="69"/>
      <c r="BE24" s="69"/>
      <c r="BF24" s="69"/>
      <c r="BG24" s="69"/>
    </row>
    <row r="25" spans="1:59" ht="12.75">
      <c r="A25" s="246" t="s">
        <v>239</v>
      </c>
      <c r="B25" s="247"/>
      <c r="C25" s="248">
        <f aca="true" t="shared" si="31" ref="C25:D35">C24</f>
        <v>1576.2916666666667</v>
      </c>
      <c r="D25" s="248">
        <f t="shared" si="31"/>
        <v>0</v>
      </c>
      <c r="E25" s="249">
        <f aca="true" t="shared" si="32" ref="E25:E35">C25+D25</f>
        <v>1576.2916666666667</v>
      </c>
      <c r="F25" s="248">
        <f>F24</f>
        <v>532.01</v>
      </c>
      <c r="G25" s="249">
        <f aca="true" t="shared" si="33" ref="G25:G35">SUM(E25:F25)</f>
        <v>2108.3016666666667</v>
      </c>
      <c r="H25" s="249">
        <f aca="true" t="shared" si="34" ref="H25:H34">E25*0.18</f>
        <v>283.7325</v>
      </c>
      <c r="I25" s="249">
        <f aca="true" t="shared" si="35" ref="I25:I35">(G25+H25)/L25*M25</f>
        <v>2392.034166666667</v>
      </c>
      <c r="J25" s="248">
        <f>J24</f>
        <v>257.5</v>
      </c>
      <c r="K25" s="249">
        <f aca="true" t="shared" si="36" ref="K25:K35">J25/L25*M25</f>
        <v>257.5</v>
      </c>
      <c r="L25" s="121">
        <f>L24</f>
        <v>24</v>
      </c>
      <c r="M25" s="250">
        <f>M24</f>
        <v>24</v>
      </c>
      <c r="N25" s="69"/>
      <c r="O25" s="135"/>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55" t="s">
        <v>555</v>
      </c>
      <c r="AR25" s="656"/>
      <c r="AS25" s="656"/>
      <c r="AT25" s="656"/>
      <c r="AU25" s="656"/>
      <c r="AV25" s="612"/>
      <c r="AW25" s="613"/>
      <c r="AX25" s="69"/>
      <c r="AY25" s="69"/>
      <c r="AZ25" s="69"/>
      <c r="BA25" s="69"/>
      <c r="BB25" s="69"/>
      <c r="BC25" s="69"/>
      <c r="BD25" s="69"/>
      <c r="BE25" s="69"/>
      <c r="BF25" s="69"/>
      <c r="BG25" s="69"/>
    </row>
    <row r="26" spans="1:59" ht="18">
      <c r="A26" s="246" t="s">
        <v>240</v>
      </c>
      <c r="B26" s="247"/>
      <c r="C26" s="248">
        <f t="shared" si="31"/>
        <v>1576.2916666666667</v>
      </c>
      <c r="D26" s="248">
        <f t="shared" si="31"/>
        <v>0</v>
      </c>
      <c r="E26" s="249">
        <f t="shared" si="32"/>
        <v>1576.2916666666667</v>
      </c>
      <c r="F26" s="248">
        <f aca="true" t="shared" si="37" ref="F26:F35">F25</f>
        <v>532.01</v>
      </c>
      <c r="G26" s="249">
        <f t="shared" si="33"/>
        <v>2108.3016666666667</v>
      </c>
      <c r="H26" s="249">
        <f t="shared" si="34"/>
        <v>283.7325</v>
      </c>
      <c r="I26" s="249">
        <f t="shared" si="35"/>
        <v>2392.034166666667</v>
      </c>
      <c r="J26" s="248">
        <f aca="true" t="shared" si="38" ref="J26:J35">J25</f>
        <v>257.5</v>
      </c>
      <c r="K26" s="249">
        <f t="shared" si="36"/>
        <v>257.5</v>
      </c>
      <c r="L26" s="121">
        <f aca="true" t="shared" si="39" ref="L26:L35">L25</f>
        <v>24</v>
      </c>
      <c r="M26" s="250">
        <f aca="true" t="shared" si="40" ref="M26:M35">M25</f>
        <v>24</v>
      </c>
      <c r="N26" s="69"/>
      <c r="O26" s="236" t="s">
        <v>212</v>
      </c>
      <c r="P26" s="237" t="s">
        <v>217</v>
      </c>
      <c r="Q26" s="69"/>
      <c r="R26" s="69"/>
      <c r="S26" s="69"/>
      <c r="T26" s="219" t="s">
        <v>605</v>
      </c>
      <c r="U26" s="218"/>
      <c r="V26" s="218"/>
      <c r="W26" s="218"/>
      <c r="X26" s="69"/>
      <c r="Y26" s="283" t="s">
        <v>606</v>
      </c>
      <c r="Z26" s="284"/>
      <c r="AA26" s="284"/>
      <c r="AB26" s="285"/>
      <c r="AC26" s="69"/>
      <c r="AD26" s="219" t="s">
        <v>615</v>
      </c>
      <c r="AE26" s="318"/>
      <c r="AF26" s="318"/>
      <c r="AG26" s="69"/>
      <c r="AH26" s="69"/>
      <c r="AI26" s="69"/>
      <c r="AJ26" s="69"/>
      <c r="AK26" s="69"/>
      <c r="AL26" s="69"/>
      <c r="AM26" s="69"/>
      <c r="AN26" s="69"/>
      <c r="AO26" s="69"/>
      <c r="AP26" s="69"/>
      <c r="AQ26" s="655" t="s">
        <v>556</v>
      </c>
      <c r="AR26" s="656"/>
      <c r="AS26" s="656"/>
      <c r="AT26" s="656"/>
      <c r="AU26" s="656"/>
      <c r="AV26" s="612"/>
      <c r="AW26" s="613"/>
      <c r="AX26" s="69"/>
      <c r="AY26" s="69"/>
      <c r="AZ26" s="69"/>
      <c r="BA26" s="69"/>
      <c r="BB26" s="69"/>
      <c r="BC26" s="69"/>
      <c r="BD26" s="69"/>
      <c r="BE26" s="69"/>
      <c r="BF26" s="69"/>
      <c r="BG26" s="69"/>
    </row>
    <row r="27" spans="1:59" ht="12.75">
      <c r="A27" s="246" t="s">
        <v>241</v>
      </c>
      <c r="B27" s="247"/>
      <c r="C27" s="248">
        <f t="shared" si="31"/>
        <v>1576.2916666666667</v>
      </c>
      <c r="D27" s="248">
        <f t="shared" si="31"/>
        <v>0</v>
      </c>
      <c r="E27" s="249">
        <f t="shared" si="32"/>
        <v>1576.2916666666667</v>
      </c>
      <c r="F27" s="248">
        <f t="shared" si="37"/>
        <v>532.01</v>
      </c>
      <c r="G27" s="249">
        <f t="shared" si="33"/>
        <v>2108.3016666666667</v>
      </c>
      <c r="H27" s="249">
        <f t="shared" si="34"/>
        <v>283.7325</v>
      </c>
      <c r="I27" s="249">
        <f t="shared" si="35"/>
        <v>2392.034166666667</v>
      </c>
      <c r="J27" s="248">
        <f t="shared" si="38"/>
        <v>257.5</v>
      </c>
      <c r="K27" s="249">
        <f t="shared" si="36"/>
        <v>257.5</v>
      </c>
      <c r="L27" s="121">
        <f t="shared" si="39"/>
        <v>24</v>
      </c>
      <c r="M27" s="250">
        <f t="shared" si="40"/>
        <v>24</v>
      </c>
      <c r="N27" s="69"/>
      <c r="O27" s="241" t="s">
        <v>231</v>
      </c>
      <c r="P27" s="238"/>
      <c r="Q27" s="69"/>
      <c r="R27" s="69"/>
      <c r="S27" s="69"/>
      <c r="T27" s="232" t="s">
        <v>259</v>
      </c>
      <c r="U27" s="143"/>
      <c r="V27" s="84"/>
      <c r="W27" s="274">
        <f>Datipers!C15</f>
        <v>19065</v>
      </c>
      <c r="X27" s="69"/>
      <c r="Y27" s="232" t="s">
        <v>266</v>
      </c>
      <c r="Z27" s="143"/>
      <c r="AA27" s="84"/>
      <c r="AB27" s="20">
        <f>62*12</f>
        <v>744</v>
      </c>
      <c r="AC27" s="69"/>
      <c r="AD27" s="259" t="s">
        <v>283</v>
      </c>
      <c r="AE27" s="22" t="s">
        <v>3</v>
      </c>
      <c r="AF27" s="22" t="s">
        <v>2</v>
      </c>
      <c r="AG27" s="69"/>
      <c r="AH27" s="69"/>
      <c r="AI27" s="69"/>
      <c r="AJ27" s="69"/>
      <c r="AK27" s="69"/>
      <c r="AL27" s="69"/>
      <c r="AM27" s="69"/>
      <c r="AN27" s="69"/>
      <c r="AO27" s="69"/>
      <c r="AP27" s="487"/>
      <c r="AQ27" s="657" t="s">
        <v>598</v>
      </c>
      <c r="AR27" s="658"/>
      <c r="AS27" s="658"/>
      <c r="AT27" s="658"/>
      <c r="AU27" s="658"/>
      <c r="AV27" s="612"/>
      <c r="AW27" s="613"/>
      <c r="AX27" s="69"/>
      <c r="AY27" s="69"/>
      <c r="AZ27" s="69"/>
      <c r="BA27" s="69"/>
      <c r="BB27" s="69"/>
      <c r="BC27" s="69"/>
      <c r="BD27" s="69"/>
      <c r="BE27" s="69"/>
      <c r="BF27" s="69"/>
      <c r="BG27" s="69"/>
    </row>
    <row r="28" spans="1:59" ht="12.75">
      <c r="A28" s="246" t="s">
        <v>242</v>
      </c>
      <c r="B28" s="247"/>
      <c r="C28" s="248">
        <f t="shared" si="31"/>
        <v>1576.2916666666667</v>
      </c>
      <c r="D28" s="248">
        <f t="shared" si="31"/>
        <v>0</v>
      </c>
      <c r="E28" s="249">
        <f t="shared" si="32"/>
        <v>1576.2916666666667</v>
      </c>
      <c r="F28" s="248">
        <f t="shared" si="37"/>
        <v>532.01</v>
      </c>
      <c r="G28" s="249">
        <f t="shared" si="33"/>
        <v>2108.3016666666667</v>
      </c>
      <c r="H28" s="249">
        <f t="shared" si="34"/>
        <v>283.7325</v>
      </c>
      <c r="I28" s="249">
        <f t="shared" si="35"/>
        <v>2392.034166666667</v>
      </c>
      <c r="J28" s="248">
        <f t="shared" si="38"/>
        <v>257.5</v>
      </c>
      <c r="K28" s="249">
        <f t="shared" si="36"/>
        <v>257.5</v>
      </c>
      <c r="L28" s="121">
        <f t="shared" si="39"/>
        <v>24</v>
      </c>
      <c r="M28" s="250">
        <f t="shared" si="40"/>
        <v>24</v>
      </c>
      <c r="N28" s="69"/>
      <c r="O28" s="69"/>
      <c r="P28" s="69"/>
      <c r="Q28" s="69"/>
      <c r="R28" s="69"/>
      <c r="S28" s="69"/>
      <c r="T28" s="232" t="s">
        <v>260</v>
      </c>
      <c r="U28" s="143"/>
      <c r="V28" s="84"/>
      <c r="W28" s="274">
        <f>Datipers!C16</f>
        <v>42979</v>
      </c>
      <c r="X28" s="69"/>
      <c r="Y28" s="232" t="s">
        <v>267</v>
      </c>
      <c r="Z28" s="143"/>
      <c r="AA28" s="84"/>
      <c r="AB28" s="286">
        <f>W33*12+W34</f>
        <v>786</v>
      </c>
      <c r="AC28" s="69"/>
      <c r="AD28" s="262"/>
      <c r="AE28" s="304">
        <f>W33</f>
        <v>65</v>
      </c>
      <c r="AF28" s="305">
        <f>W34</f>
        <v>6</v>
      </c>
      <c r="AG28" s="69"/>
      <c r="AH28" s="69"/>
      <c r="AI28" s="69"/>
      <c r="AJ28" s="69"/>
      <c r="AK28" s="69"/>
      <c r="AL28" s="69"/>
      <c r="AM28" s="69"/>
      <c r="AN28" s="69"/>
      <c r="AO28" s="69"/>
      <c r="AP28" s="488">
        <f>[0]!mic</f>
        <v>0</v>
      </c>
      <c r="AQ28" s="657" t="s">
        <v>599</v>
      </c>
      <c r="AR28" s="658"/>
      <c r="AS28" s="658"/>
      <c r="AT28" s="658"/>
      <c r="AU28" s="658"/>
      <c r="AV28" s="612"/>
      <c r="AW28" s="613"/>
      <c r="AX28" s="69"/>
      <c r="AY28" s="69"/>
      <c r="AZ28" s="69"/>
      <c r="BA28" s="69"/>
      <c r="BB28" s="69"/>
      <c r="BC28" s="69"/>
      <c r="BD28" s="69"/>
      <c r="BE28" s="69"/>
      <c r="BF28" s="69"/>
      <c r="BG28" s="69"/>
    </row>
    <row r="29" spans="1:59" ht="12.75">
      <c r="A29" s="246" t="s">
        <v>243</v>
      </c>
      <c r="B29" s="247"/>
      <c r="C29" s="248">
        <f t="shared" si="31"/>
        <v>1576.2916666666667</v>
      </c>
      <c r="D29" s="248">
        <f t="shared" si="31"/>
        <v>0</v>
      </c>
      <c r="E29" s="249">
        <f t="shared" si="32"/>
        <v>1576.2916666666667</v>
      </c>
      <c r="F29" s="248">
        <f t="shared" si="37"/>
        <v>532.01</v>
      </c>
      <c r="G29" s="249">
        <f t="shared" si="33"/>
        <v>2108.3016666666667</v>
      </c>
      <c r="H29" s="249">
        <f t="shared" si="34"/>
        <v>283.7325</v>
      </c>
      <c r="I29" s="249">
        <f t="shared" si="35"/>
        <v>2392.034166666667</v>
      </c>
      <c r="J29" s="248">
        <f t="shared" si="38"/>
        <v>257.5</v>
      </c>
      <c r="K29" s="249">
        <f t="shared" si="36"/>
        <v>257.5</v>
      </c>
      <c r="L29" s="121">
        <f t="shared" si="39"/>
        <v>24</v>
      </c>
      <c r="M29" s="250">
        <f t="shared" si="40"/>
        <v>24</v>
      </c>
      <c r="N29" s="69"/>
      <c r="O29" s="651">
        <v>2012</v>
      </c>
      <c r="P29" s="248">
        <v>0</v>
      </c>
      <c r="Q29" s="69"/>
      <c r="R29" s="69"/>
      <c r="S29" s="69"/>
      <c r="T29" s="97" t="s">
        <v>264</v>
      </c>
      <c r="U29" s="143"/>
      <c r="V29" s="84"/>
      <c r="W29" s="275">
        <f>YEAR(W27)*12+MONTH(W27)</f>
        <v>23427</v>
      </c>
      <c r="X29" s="69"/>
      <c r="Y29" s="287" t="s">
        <v>271</v>
      </c>
      <c r="Z29" s="143"/>
      <c r="AA29" s="84"/>
      <c r="AB29" s="286">
        <f>IF(AB27-AB28&lt;0,0,AB27-AB28)</f>
        <v>0</v>
      </c>
      <c r="AC29" s="69"/>
      <c r="AD29" s="259" t="s">
        <v>255</v>
      </c>
      <c r="AE29" s="260"/>
      <c r="AF29" s="261"/>
      <c r="AG29" s="69"/>
      <c r="AH29" s="69"/>
      <c r="AI29" s="69"/>
      <c r="AJ29" s="69"/>
      <c r="AK29" s="69"/>
      <c r="AL29" s="69"/>
      <c r="AM29" s="69"/>
      <c r="AN29" s="69"/>
      <c r="AO29" s="69"/>
      <c r="AP29" s="69"/>
      <c r="AQ29" s="611"/>
      <c r="AR29" s="612"/>
      <c r="AS29" s="612"/>
      <c r="AT29" s="612"/>
      <c r="AU29" s="612"/>
      <c r="AV29" s="612"/>
      <c r="AW29" s="613"/>
      <c r="AX29" s="69"/>
      <c r="AY29" s="69"/>
      <c r="AZ29" s="69"/>
      <c r="BA29" s="69"/>
      <c r="BB29" s="69"/>
      <c r="BC29" s="69"/>
      <c r="BD29" s="69"/>
      <c r="BE29" s="69"/>
      <c r="BF29" s="69"/>
      <c r="BG29" s="69"/>
    </row>
    <row r="30" spans="1:59" ht="12.75">
      <c r="A30" s="246" t="s">
        <v>244</v>
      </c>
      <c r="B30" s="247"/>
      <c r="C30" s="248">
        <f t="shared" si="31"/>
        <v>1576.2916666666667</v>
      </c>
      <c r="D30" s="248">
        <f t="shared" si="31"/>
        <v>0</v>
      </c>
      <c r="E30" s="249">
        <f t="shared" si="32"/>
        <v>1576.2916666666667</v>
      </c>
      <c r="F30" s="248">
        <f t="shared" si="37"/>
        <v>532.01</v>
      </c>
      <c r="G30" s="249">
        <f t="shared" si="33"/>
        <v>2108.3016666666667</v>
      </c>
      <c r="H30" s="249">
        <f t="shared" si="34"/>
        <v>283.7325</v>
      </c>
      <c r="I30" s="249">
        <f t="shared" si="35"/>
        <v>2392.034166666667</v>
      </c>
      <c r="J30" s="248">
        <f t="shared" si="38"/>
        <v>257.5</v>
      </c>
      <c r="K30" s="249">
        <f t="shared" si="36"/>
        <v>257.5</v>
      </c>
      <c r="L30" s="121">
        <f t="shared" si="39"/>
        <v>24</v>
      </c>
      <c r="M30" s="250">
        <f t="shared" si="40"/>
        <v>24</v>
      </c>
      <c r="N30" s="69"/>
      <c r="O30" s="651">
        <f aca="true" t="shared" si="41" ref="O30:O42">O29+1</f>
        <v>2013</v>
      </c>
      <c r="P30" s="248">
        <v>0</v>
      </c>
      <c r="Q30" s="69"/>
      <c r="R30" s="69"/>
      <c r="S30" s="69"/>
      <c r="T30" s="97" t="s">
        <v>257</v>
      </c>
      <c r="U30" s="143"/>
      <c r="V30" s="84"/>
      <c r="W30" s="275">
        <f>YEAR(W28)*12+MONTH(W28)</f>
        <v>24213</v>
      </c>
      <c r="X30" s="69"/>
      <c r="Y30" s="287" t="s">
        <v>274</v>
      </c>
      <c r="Z30" s="143"/>
      <c r="AA30" s="84"/>
      <c r="AB30" s="286">
        <f>IF(AB29&gt;24,AB29-24,0)</f>
        <v>0</v>
      </c>
      <c r="AC30" s="69"/>
      <c r="AD30" s="262" t="s">
        <v>524</v>
      </c>
      <c r="AE30" s="263"/>
      <c r="AF30" s="264"/>
      <c r="AG30" s="69"/>
      <c r="AH30" s="69"/>
      <c r="AI30" s="69"/>
      <c r="AJ30" s="69"/>
      <c r="AK30" s="69"/>
      <c r="AL30" s="69"/>
      <c r="AM30" s="69"/>
      <c r="AN30" s="69"/>
      <c r="AO30" s="69"/>
      <c r="AP30" s="69"/>
      <c r="AQ30" s="653" t="s">
        <v>600</v>
      </c>
      <c r="AR30" s="654"/>
      <c r="AS30" s="654"/>
      <c r="AT30" s="654"/>
      <c r="AU30" s="654"/>
      <c r="AV30" s="654"/>
      <c r="AW30" s="613"/>
      <c r="AX30" s="69"/>
      <c r="AY30" s="69"/>
      <c r="AZ30" s="69"/>
      <c r="BA30" s="69"/>
      <c r="BB30" s="69"/>
      <c r="BC30" s="69"/>
      <c r="BD30" s="69"/>
      <c r="BE30" s="69"/>
      <c r="BF30" s="69"/>
      <c r="BG30" s="69"/>
    </row>
    <row r="31" spans="1:59" ht="12.75">
      <c r="A31" s="246" t="s">
        <v>245</v>
      </c>
      <c r="B31" s="247"/>
      <c r="C31" s="248">
        <f t="shared" si="31"/>
        <v>1576.2916666666667</v>
      </c>
      <c r="D31" s="248">
        <f t="shared" si="31"/>
        <v>0</v>
      </c>
      <c r="E31" s="249">
        <f t="shared" si="32"/>
        <v>1576.2916666666667</v>
      </c>
      <c r="F31" s="248">
        <f t="shared" si="37"/>
        <v>532.01</v>
      </c>
      <c r="G31" s="249">
        <f t="shared" si="33"/>
        <v>2108.3016666666667</v>
      </c>
      <c r="H31" s="249">
        <f t="shared" si="34"/>
        <v>283.7325</v>
      </c>
      <c r="I31" s="249">
        <f t="shared" si="35"/>
        <v>2392.034166666667</v>
      </c>
      <c r="J31" s="248">
        <f t="shared" si="38"/>
        <v>257.5</v>
      </c>
      <c r="K31" s="249">
        <f t="shared" si="36"/>
        <v>257.5</v>
      </c>
      <c r="L31" s="121">
        <f t="shared" si="39"/>
        <v>24</v>
      </c>
      <c r="M31" s="250">
        <f t="shared" si="40"/>
        <v>24</v>
      </c>
      <c r="N31" s="69"/>
      <c r="O31" s="651">
        <f t="shared" si="41"/>
        <v>2014</v>
      </c>
      <c r="P31" s="248">
        <v>0</v>
      </c>
      <c r="Q31" s="69"/>
      <c r="R31" s="69"/>
      <c r="S31" s="69"/>
      <c r="T31" s="97" t="s">
        <v>455</v>
      </c>
      <c r="U31" s="143"/>
      <c r="V31" s="84"/>
      <c r="W31" s="272">
        <f>IF(DAY(W27)&gt;15,-1,0)</f>
        <v>0</v>
      </c>
      <c r="X31" s="69"/>
      <c r="Y31" s="232" t="s">
        <v>276</v>
      </c>
      <c r="Z31" s="143"/>
      <c r="AA31" s="84"/>
      <c r="AB31" s="286">
        <f>IF(AB29&gt;24,24,AB29)</f>
        <v>0</v>
      </c>
      <c r="AC31" s="69"/>
      <c r="AD31" s="265">
        <v>57</v>
      </c>
      <c r="AE31" s="590">
        <v>4.246</v>
      </c>
      <c r="AF31" s="266">
        <f>VLOOKUP(AE28,AD31:AF39,2)</f>
        <v>5.326</v>
      </c>
      <c r="AG31" s="69"/>
      <c r="AH31" s="69"/>
      <c r="AI31" s="69"/>
      <c r="AJ31" s="69"/>
      <c r="AK31" s="69"/>
      <c r="AL31" s="69"/>
      <c r="AM31" s="69"/>
      <c r="AN31" s="69"/>
      <c r="AO31" s="69"/>
      <c r="AP31" s="69"/>
      <c r="AQ31" s="653" t="s">
        <v>557</v>
      </c>
      <c r="AR31" s="654"/>
      <c r="AS31" s="654"/>
      <c r="AT31" s="654"/>
      <c r="AU31" s="654"/>
      <c r="AV31" s="654"/>
      <c r="AW31" s="613"/>
      <c r="AX31" s="69"/>
      <c r="AY31" s="69"/>
      <c r="AZ31" s="69"/>
      <c r="BA31" s="69"/>
      <c r="BB31" s="69"/>
      <c r="BC31" s="69"/>
      <c r="BD31" s="69"/>
      <c r="BE31" s="69"/>
      <c r="BF31" s="69"/>
      <c r="BG31" s="69"/>
    </row>
    <row r="32" spans="1:59" ht="12.75">
      <c r="A32" s="246" t="s">
        <v>246</v>
      </c>
      <c r="B32" s="247"/>
      <c r="C32" s="248">
        <f t="shared" si="31"/>
        <v>1576.2916666666667</v>
      </c>
      <c r="D32" s="248">
        <f t="shared" si="31"/>
        <v>0</v>
      </c>
      <c r="E32" s="249">
        <f t="shared" si="32"/>
        <v>1576.2916666666667</v>
      </c>
      <c r="F32" s="248">
        <f t="shared" si="37"/>
        <v>532.01</v>
      </c>
      <c r="G32" s="249">
        <f t="shared" si="33"/>
        <v>2108.3016666666667</v>
      </c>
      <c r="H32" s="249">
        <f t="shared" si="34"/>
        <v>283.7325</v>
      </c>
      <c r="I32" s="249">
        <f t="shared" si="35"/>
        <v>2392.034166666667</v>
      </c>
      <c r="J32" s="248">
        <f t="shared" si="38"/>
        <v>257.5</v>
      </c>
      <c r="K32" s="249">
        <f t="shared" si="36"/>
        <v>257.5</v>
      </c>
      <c r="L32" s="121">
        <f t="shared" si="39"/>
        <v>24</v>
      </c>
      <c r="M32" s="250">
        <f t="shared" si="40"/>
        <v>24</v>
      </c>
      <c r="N32" s="69"/>
      <c r="O32" s="651">
        <f t="shared" si="41"/>
        <v>2015</v>
      </c>
      <c r="P32" s="248">
        <v>0</v>
      </c>
      <c r="Q32" s="69"/>
      <c r="R32" s="69"/>
      <c r="S32" s="69"/>
      <c r="T32" s="97" t="s">
        <v>258</v>
      </c>
      <c r="U32" s="143"/>
      <c r="V32" s="84"/>
      <c r="W32" s="276">
        <f>W30-W29+W31</f>
        <v>786</v>
      </c>
      <c r="X32" s="69"/>
      <c r="Y32" s="232" t="s">
        <v>268</v>
      </c>
      <c r="Z32" s="143"/>
      <c r="AA32" s="84"/>
      <c r="AB32" s="288">
        <f>1/12</f>
        <v>0.08333333333333333</v>
      </c>
      <c r="AC32" s="69"/>
      <c r="AD32" s="265">
        <v>58</v>
      </c>
      <c r="AE32" s="590">
        <v>4.354</v>
      </c>
      <c r="AF32" s="267">
        <f>VLOOKUP(AE28+1,AD31:AF44,2)</f>
        <v>5.506</v>
      </c>
      <c r="AG32" s="69"/>
      <c r="AH32" s="69"/>
      <c r="AI32" s="69"/>
      <c r="AJ32" s="69"/>
      <c r="AK32" s="69"/>
      <c r="AL32" s="69"/>
      <c r="AM32" s="69"/>
      <c r="AN32" s="69"/>
      <c r="AO32" s="69"/>
      <c r="AP32" s="69"/>
      <c r="AQ32" s="628" t="s">
        <v>601</v>
      </c>
      <c r="AR32" s="659"/>
      <c r="AS32" s="659"/>
      <c r="AT32" s="659"/>
      <c r="AU32" s="659"/>
      <c r="AV32" s="659"/>
      <c r="AW32" s="630"/>
      <c r="AX32" s="69"/>
      <c r="AY32" s="69"/>
      <c r="AZ32" s="69"/>
      <c r="BA32" s="69"/>
      <c r="BB32" s="69"/>
      <c r="BC32" s="69"/>
      <c r="BD32" s="69"/>
      <c r="BE32" s="69"/>
      <c r="BF32" s="69"/>
      <c r="BG32" s="69"/>
    </row>
    <row r="33" spans="1:59" ht="12.75">
      <c r="A33" s="246" t="s">
        <v>247</v>
      </c>
      <c r="B33" s="247"/>
      <c r="C33" s="248">
        <f t="shared" si="31"/>
        <v>1576.2916666666667</v>
      </c>
      <c r="D33" s="248">
        <f t="shared" si="31"/>
        <v>0</v>
      </c>
      <c r="E33" s="249">
        <f t="shared" si="32"/>
        <v>1576.2916666666667</v>
      </c>
      <c r="F33" s="248">
        <f t="shared" si="37"/>
        <v>532.01</v>
      </c>
      <c r="G33" s="249">
        <f t="shared" si="33"/>
        <v>2108.3016666666667</v>
      </c>
      <c r="H33" s="249">
        <f t="shared" si="34"/>
        <v>283.7325</v>
      </c>
      <c r="I33" s="249">
        <f t="shared" si="35"/>
        <v>2392.034166666667</v>
      </c>
      <c r="J33" s="248">
        <f t="shared" si="38"/>
        <v>257.5</v>
      </c>
      <c r="K33" s="249">
        <f t="shared" si="36"/>
        <v>257.5</v>
      </c>
      <c r="L33" s="121">
        <f t="shared" si="39"/>
        <v>24</v>
      </c>
      <c r="M33" s="250">
        <f t="shared" si="40"/>
        <v>24</v>
      </c>
      <c r="N33" s="69"/>
      <c r="O33" s="651">
        <f t="shared" si="41"/>
        <v>2016</v>
      </c>
      <c r="P33" s="248">
        <v>0</v>
      </c>
      <c r="Q33" s="69"/>
      <c r="R33" s="69"/>
      <c r="S33" s="69"/>
      <c r="T33" s="100" t="s">
        <v>262</v>
      </c>
      <c r="U33" s="277"/>
      <c r="V33" s="278"/>
      <c r="W33" s="279">
        <f>INT(W32/12)</f>
        <v>65</v>
      </c>
      <c r="X33" s="69"/>
      <c r="Y33" s="232" t="s">
        <v>269</v>
      </c>
      <c r="Z33" s="143"/>
      <c r="AA33" s="84"/>
      <c r="AB33" s="288">
        <f>2/12</f>
        <v>0.16666666666666666</v>
      </c>
      <c r="AC33" s="69"/>
      <c r="AD33" s="265">
        <v>59</v>
      </c>
      <c r="AE33" s="590">
        <v>4.468</v>
      </c>
      <c r="AF33" s="268">
        <f>ROUND((AF32-AF31)/12,6)</f>
        <v>0.015</v>
      </c>
      <c r="AG33" s="69"/>
      <c r="AH33" s="69"/>
      <c r="AI33" s="69"/>
      <c r="AJ33" s="69"/>
      <c r="AK33" s="69"/>
      <c r="AL33" s="69"/>
      <c r="AM33" s="69"/>
      <c r="AN33" s="69"/>
      <c r="AO33" s="69"/>
      <c r="AP33" s="69"/>
      <c r="AQ33" s="139" t="s">
        <v>0</v>
      </c>
      <c r="AR33" s="139"/>
      <c r="AS33" s="139"/>
      <c r="AT33" s="139"/>
      <c r="AU33" s="139"/>
      <c r="AV33" s="139"/>
      <c r="AW33" s="69"/>
      <c r="AX33" s="69"/>
      <c r="AY33" s="69"/>
      <c r="AZ33" s="69"/>
      <c r="BA33" s="69"/>
      <c r="BB33" s="69"/>
      <c r="BC33" s="69"/>
      <c r="BD33" s="69"/>
      <c r="BE33" s="69"/>
      <c r="BF33" s="69"/>
      <c r="BG33" s="69"/>
    </row>
    <row r="34" spans="1:59" ht="12.75">
      <c r="A34" s="246" t="s">
        <v>248</v>
      </c>
      <c r="B34" s="247"/>
      <c r="C34" s="248">
        <f t="shared" si="31"/>
        <v>1576.2916666666667</v>
      </c>
      <c r="D34" s="248">
        <f t="shared" si="31"/>
        <v>0</v>
      </c>
      <c r="E34" s="249">
        <f t="shared" si="32"/>
        <v>1576.2916666666667</v>
      </c>
      <c r="F34" s="248">
        <f t="shared" si="37"/>
        <v>532.01</v>
      </c>
      <c r="G34" s="249">
        <f t="shared" si="33"/>
        <v>2108.3016666666667</v>
      </c>
      <c r="H34" s="249">
        <f t="shared" si="34"/>
        <v>283.7325</v>
      </c>
      <c r="I34" s="249">
        <f t="shared" si="35"/>
        <v>2392.034166666667</v>
      </c>
      <c r="J34" s="248">
        <f t="shared" si="38"/>
        <v>257.5</v>
      </c>
      <c r="K34" s="249">
        <f t="shared" si="36"/>
        <v>257.5</v>
      </c>
      <c r="L34" s="121">
        <f t="shared" si="39"/>
        <v>24</v>
      </c>
      <c r="M34" s="250">
        <f t="shared" si="40"/>
        <v>24</v>
      </c>
      <c r="N34" s="69"/>
      <c r="O34" s="651">
        <f t="shared" si="41"/>
        <v>2017</v>
      </c>
      <c r="P34" s="248">
        <v>0</v>
      </c>
      <c r="Q34" s="69"/>
      <c r="R34" s="69"/>
      <c r="S34" s="69"/>
      <c r="T34" s="100" t="s">
        <v>263</v>
      </c>
      <c r="U34" s="277"/>
      <c r="V34" s="278"/>
      <c r="W34" s="280">
        <f>W32-W33*12</f>
        <v>6</v>
      </c>
      <c r="X34" s="69"/>
      <c r="Y34" s="232" t="s">
        <v>275</v>
      </c>
      <c r="Z34" s="143"/>
      <c r="AA34" s="84"/>
      <c r="AB34" s="293">
        <f>ROUND(AB32*AB31,4)</f>
        <v>0</v>
      </c>
      <c r="AC34" s="69"/>
      <c r="AD34" s="265">
        <v>60</v>
      </c>
      <c r="AE34" s="590">
        <v>4.589</v>
      </c>
      <c r="AF34" s="267">
        <f>ROUND(AF33*AF28,4)</f>
        <v>0.09</v>
      </c>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row>
    <row r="35" spans="1:59" ht="12.75">
      <c r="A35" s="246" t="s">
        <v>249</v>
      </c>
      <c r="B35" s="247"/>
      <c r="C35" s="248">
        <f t="shared" si="31"/>
        <v>1576.2916666666667</v>
      </c>
      <c r="D35" s="248">
        <f t="shared" si="31"/>
        <v>0</v>
      </c>
      <c r="E35" s="249">
        <f t="shared" si="32"/>
        <v>1576.2916666666667</v>
      </c>
      <c r="F35" s="248">
        <f t="shared" si="37"/>
        <v>532.01</v>
      </c>
      <c r="G35" s="249">
        <f t="shared" si="33"/>
        <v>2108.3016666666667</v>
      </c>
      <c r="H35" s="249">
        <f>E35*0.18</f>
        <v>283.7325</v>
      </c>
      <c r="I35" s="249">
        <f t="shared" si="35"/>
        <v>2392.034166666667</v>
      </c>
      <c r="J35" s="248">
        <f t="shared" si="38"/>
        <v>257.5</v>
      </c>
      <c r="K35" s="249">
        <f t="shared" si="36"/>
        <v>257.5</v>
      </c>
      <c r="L35" s="121">
        <f t="shared" si="39"/>
        <v>24</v>
      </c>
      <c r="M35" s="250">
        <f t="shared" si="40"/>
        <v>24</v>
      </c>
      <c r="N35" s="69"/>
      <c r="O35" s="651">
        <f t="shared" si="41"/>
        <v>2018</v>
      </c>
      <c r="P35" s="248">
        <v>0</v>
      </c>
      <c r="Q35" s="69"/>
      <c r="R35" s="69"/>
      <c r="S35" s="69"/>
      <c r="T35" s="69"/>
      <c r="U35" s="69"/>
      <c r="V35" s="69"/>
      <c r="W35" s="69"/>
      <c r="X35" s="69"/>
      <c r="Y35" s="232" t="s">
        <v>272</v>
      </c>
      <c r="Z35" s="143"/>
      <c r="AA35" s="84"/>
      <c r="AB35" s="297">
        <f>ROUND((AB33*AB30),4)</f>
        <v>0</v>
      </c>
      <c r="AC35" s="69"/>
      <c r="AD35" s="265">
        <v>61</v>
      </c>
      <c r="AE35" s="590">
        <v>4.719</v>
      </c>
      <c r="AF35" s="268">
        <f>AF31+AF34</f>
        <v>5.4159999999999995</v>
      </c>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row>
    <row r="36" spans="1:59" ht="12.75">
      <c r="A36" s="243">
        <f>A23+1</f>
        <v>2014</v>
      </c>
      <c r="B36" s="252"/>
      <c r="C36" s="252"/>
      <c r="D36" s="252"/>
      <c r="E36" s="244">
        <f>SUM(E37:E48)</f>
        <v>20713.729999999996</v>
      </c>
      <c r="F36" s="252"/>
      <c r="G36" s="244">
        <f aca="true" t="shared" si="42" ref="G36:M36">SUM(G37:G48)</f>
        <v>27097.850000000002</v>
      </c>
      <c r="H36" s="244">
        <f t="shared" si="42"/>
        <v>3728.4714</v>
      </c>
      <c r="I36" s="244">
        <f t="shared" si="42"/>
        <v>30826.3214</v>
      </c>
      <c r="J36" s="244">
        <f t="shared" si="42"/>
        <v>3090</v>
      </c>
      <c r="K36" s="244">
        <f t="shared" si="42"/>
        <v>3090</v>
      </c>
      <c r="L36" s="245">
        <f t="shared" si="42"/>
        <v>288</v>
      </c>
      <c r="M36" s="245">
        <f t="shared" si="42"/>
        <v>288</v>
      </c>
      <c r="N36" s="725">
        <f>ROUND((M36/L36),5)</f>
        <v>1</v>
      </c>
      <c r="O36" s="651">
        <f t="shared" si="41"/>
        <v>2019</v>
      </c>
      <c r="P36" s="248">
        <v>0</v>
      </c>
      <c r="Q36" s="69"/>
      <c r="R36" s="69"/>
      <c r="S36" s="69"/>
      <c r="T36" s="69"/>
      <c r="U36" s="69"/>
      <c r="V36" s="69"/>
      <c r="W36" s="69"/>
      <c r="X36" s="69"/>
      <c r="Y36" s="294" t="s">
        <v>277</v>
      </c>
      <c r="Z36" s="295"/>
      <c r="AA36" s="296"/>
      <c r="AB36" s="299"/>
      <c r="AC36" s="69"/>
      <c r="AD36" s="265">
        <v>62</v>
      </c>
      <c r="AE36" s="590">
        <v>4.856</v>
      </c>
      <c r="AF36" s="303">
        <f>IF(AE28&gt;70,AE44,IF(AE28&lt;57,AE31,AF35))</f>
        <v>5.4159999999999995</v>
      </c>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row>
    <row r="37" spans="1:59" ht="12.75">
      <c r="A37" s="246" t="s">
        <v>238</v>
      </c>
      <c r="B37" s="316">
        <f>CalcoloA!N37</f>
        <v>28</v>
      </c>
      <c r="C37" s="248">
        <f>AC6</f>
        <v>1726.1441666666667</v>
      </c>
      <c r="D37" s="248">
        <f>D35</f>
        <v>0</v>
      </c>
      <c r="E37" s="249">
        <f>C37+D37</f>
        <v>1726.1441666666667</v>
      </c>
      <c r="F37" s="248">
        <f>F35</f>
        <v>532.01</v>
      </c>
      <c r="G37" s="249">
        <f>SUM(E37:F37)</f>
        <v>2258.1541666666667</v>
      </c>
      <c r="H37" s="249">
        <f>E37*0.18</f>
        <v>310.70595</v>
      </c>
      <c r="I37" s="249">
        <f>(G37+H37)/L37*M37</f>
        <v>2568.8601166666667</v>
      </c>
      <c r="J37" s="248">
        <f>J35</f>
        <v>257.5</v>
      </c>
      <c r="K37" s="249">
        <f>J37/L37*M37</f>
        <v>257.5</v>
      </c>
      <c r="L37" s="306">
        <f>L35</f>
        <v>24</v>
      </c>
      <c r="M37" s="250">
        <f>M35</f>
        <v>24</v>
      </c>
      <c r="N37" s="69"/>
      <c r="O37" s="651">
        <f t="shared" si="41"/>
        <v>2020</v>
      </c>
      <c r="P37" s="248">
        <v>0</v>
      </c>
      <c r="Q37" s="69"/>
      <c r="R37" s="69"/>
      <c r="S37" s="69"/>
      <c r="T37" s="69"/>
      <c r="U37" s="69"/>
      <c r="V37" s="69"/>
      <c r="W37" s="69"/>
      <c r="X37" s="69"/>
      <c r="Y37" s="232" t="s">
        <v>273</v>
      </c>
      <c r="Z37" s="143"/>
      <c r="AA37" s="84"/>
      <c r="AB37" s="22"/>
      <c r="AC37" s="69"/>
      <c r="AD37" s="265">
        <v>63</v>
      </c>
      <c r="AE37" s="590">
        <v>5.002</v>
      </c>
      <c r="AF37" s="268"/>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row>
    <row r="38" spans="1:59" ht="12.75">
      <c r="A38" s="246" t="s">
        <v>239</v>
      </c>
      <c r="B38" s="247"/>
      <c r="C38" s="248">
        <f aca="true" t="shared" si="43" ref="C38:D48">C37</f>
        <v>1726.1441666666667</v>
      </c>
      <c r="D38" s="248">
        <f t="shared" si="43"/>
        <v>0</v>
      </c>
      <c r="E38" s="249">
        <f aca="true" t="shared" si="44" ref="E38:E48">C38+D38</f>
        <v>1726.1441666666667</v>
      </c>
      <c r="F38" s="248">
        <f>F37</f>
        <v>532.01</v>
      </c>
      <c r="G38" s="249">
        <f aca="true" t="shared" si="45" ref="G38:G48">SUM(E38:F38)</f>
        <v>2258.1541666666667</v>
      </c>
      <c r="H38" s="249">
        <f aca="true" t="shared" si="46" ref="H38:H47">E38*0.18</f>
        <v>310.70595</v>
      </c>
      <c r="I38" s="249">
        <f aca="true" t="shared" si="47" ref="I38:I48">(G38+H38)/L38*M38</f>
        <v>2568.8601166666667</v>
      </c>
      <c r="J38" s="248">
        <f>J37</f>
        <v>257.5</v>
      </c>
      <c r="K38" s="249">
        <f aca="true" t="shared" si="48" ref="K38:K48">J38/L38*M38</f>
        <v>257.5</v>
      </c>
      <c r="L38" s="306">
        <f>L37</f>
        <v>24</v>
      </c>
      <c r="M38" s="250">
        <f>M37</f>
        <v>24</v>
      </c>
      <c r="N38" s="69"/>
      <c r="O38" s="651">
        <f t="shared" si="41"/>
        <v>2021</v>
      </c>
      <c r="P38" s="248">
        <v>0</v>
      </c>
      <c r="Q38" s="69"/>
      <c r="R38" s="69"/>
      <c r="S38" s="69"/>
      <c r="T38" s="69"/>
      <c r="U38" s="69"/>
      <c r="V38" s="69"/>
      <c r="W38" s="69"/>
      <c r="X38" s="69"/>
      <c r="Y38" s="69"/>
      <c r="Z38" s="69"/>
      <c r="AA38" s="69"/>
      <c r="AB38" s="69"/>
      <c r="AC38" s="69"/>
      <c r="AD38" s="265">
        <v>64</v>
      </c>
      <c r="AE38" s="590">
        <v>5.159</v>
      </c>
      <c r="AF38" s="268"/>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row>
    <row r="39" spans="1:59" ht="12.75">
      <c r="A39" s="246" t="s">
        <v>240</v>
      </c>
      <c r="B39" s="247"/>
      <c r="C39" s="248">
        <f t="shared" si="43"/>
        <v>1726.1441666666667</v>
      </c>
      <c r="D39" s="248">
        <f t="shared" si="43"/>
        <v>0</v>
      </c>
      <c r="E39" s="249">
        <f t="shared" si="44"/>
        <v>1726.1441666666667</v>
      </c>
      <c r="F39" s="248">
        <f aca="true" t="shared" si="49" ref="F39:F48">F38</f>
        <v>532.01</v>
      </c>
      <c r="G39" s="249">
        <f t="shared" si="45"/>
        <v>2258.1541666666667</v>
      </c>
      <c r="H39" s="249">
        <f t="shared" si="46"/>
        <v>310.70595</v>
      </c>
      <c r="I39" s="249">
        <f t="shared" si="47"/>
        <v>2568.8601166666667</v>
      </c>
      <c r="J39" s="248">
        <f aca="true" t="shared" si="50" ref="J39:J48">J38</f>
        <v>257.5</v>
      </c>
      <c r="K39" s="249">
        <f t="shared" si="48"/>
        <v>257.5</v>
      </c>
      <c r="L39" s="306">
        <f aca="true" t="shared" si="51" ref="L39:L48">L38</f>
        <v>24</v>
      </c>
      <c r="M39" s="250">
        <f aca="true" t="shared" si="52" ref="M39:M48">M38</f>
        <v>24</v>
      </c>
      <c r="N39" s="69"/>
      <c r="O39" s="651">
        <f t="shared" si="41"/>
        <v>2022</v>
      </c>
      <c r="P39" s="248">
        <v>0</v>
      </c>
      <c r="Q39" s="69"/>
      <c r="R39" s="69"/>
      <c r="S39" s="69"/>
      <c r="T39" s="69"/>
      <c r="U39" s="69"/>
      <c r="V39" s="69"/>
      <c r="W39" s="69"/>
      <c r="X39" s="69"/>
      <c r="Y39" s="69"/>
      <c r="Z39" s="69"/>
      <c r="AA39" s="69"/>
      <c r="AB39" s="69"/>
      <c r="AC39" s="69"/>
      <c r="AD39" s="265">
        <v>65</v>
      </c>
      <c r="AE39" s="590">
        <v>5.326</v>
      </c>
      <c r="AF39" s="268"/>
      <c r="AG39" s="69"/>
      <c r="AH39" s="69"/>
      <c r="AI39" s="69"/>
      <c r="AJ39" s="69"/>
      <c r="AK39" s="69"/>
      <c r="AL39" s="69"/>
      <c r="AM39" s="69"/>
      <c r="AN39" s="69"/>
      <c r="AO39" s="69"/>
      <c r="AP39" s="69"/>
      <c r="AQ39" s="139"/>
      <c r="AR39" s="139"/>
      <c r="AS39" s="139"/>
      <c r="AT39" s="139"/>
      <c r="AU39" s="139"/>
      <c r="AV39" s="139"/>
      <c r="AW39" s="69"/>
      <c r="AX39" s="69"/>
      <c r="AY39" s="69"/>
      <c r="AZ39" s="69"/>
      <c r="BA39" s="69"/>
      <c r="BB39" s="69"/>
      <c r="BC39" s="69"/>
      <c r="BD39" s="69"/>
      <c r="BE39" s="69"/>
      <c r="BF39" s="69"/>
      <c r="BG39" s="69"/>
    </row>
    <row r="40" spans="1:59" ht="12.75" customHeight="1">
      <c r="A40" s="246" t="s">
        <v>241</v>
      </c>
      <c r="B40" s="247"/>
      <c r="C40" s="248">
        <f t="shared" si="43"/>
        <v>1726.1441666666667</v>
      </c>
      <c r="D40" s="248">
        <f t="shared" si="43"/>
        <v>0</v>
      </c>
      <c r="E40" s="249">
        <f t="shared" si="44"/>
        <v>1726.1441666666667</v>
      </c>
      <c r="F40" s="248">
        <f t="shared" si="49"/>
        <v>532.01</v>
      </c>
      <c r="G40" s="249">
        <f t="shared" si="45"/>
        <v>2258.1541666666667</v>
      </c>
      <c r="H40" s="249">
        <f t="shared" si="46"/>
        <v>310.70595</v>
      </c>
      <c r="I40" s="249">
        <f t="shared" si="47"/>
        <v>2568.8601166666667</v>
      </c>
      <c r="J40" s="248">
        <f t="shared" si="50"/>
        <v>257.5</v>
      </c>
      <c r="K40" s="249">
        <f t="shared" si="48"/>
        <v>257.5</v>
      </c>
      <c r="L40" s="306">
        <f t="shared" si="51"/>
        <v>24</v>
      </c>
      <c r="M40" s="250">
        <f t="shared" si="52"/>
        <v>24</v>
      </c>
      <c r="N40" s="69"/>
      <c r="O40" s="651">
        <f t="shared" si="41"/>
        <v>2023</v>
      </c>
      <c r="P40" s="248">
        <v>0</v>
      </c>
      <c r="Q40" s="69"/>
      <c r="R40" s="69"/>
      <c r="S40" s="69"/>
      <c r="T40" s="219" t="s">
        <v>608</v>
      </c>
      <c r="U40" s="218"/>
      <c r="V40" s="69"/>
      <c r="W40" s="69"/>
      <c r="X40" s="69"/>
      <c r="Y40" s="69"/>
      <c r="Z40" s="69"/>
      <c r="AA40" s="69"/>
      <c r="AB40" s="69"/>
      <c r="AC40" s="69"/>
      <c r="AD40" s="265">
        <v>66</v>
      </c>
      <c r="AE40" s="590">
        <v>5.506</v>
      </c>
      <c r="AF40" s="268"/>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row>
    <row r="41" spans="1:59" ht="15">
      <c r="A41" s="246" t="s">
        <v>242</v>
      </c>
      <c r="B41" s="247"/>
      <c r="C41" s="248">
        <f t="shared" si="43"/>
        <v>1726.1441666666667</v>
      </c>
      <c r="D41" s="248">
        <f t="shared" si="43"/>
        <v>0</v>
      </c>
      <c r="E41" s="249">
        <f t="shared" si="44"/>
        <v>1726.1441666666667</v>
      </c>
      <c r="F41" s="248">
        <f t="shared" si="49"/>
        <v>532.01</v>
      </c>
      <c r="G41" s="249">
        <f t="shared" si="45"/>
        <v>2258.1541666666667</v>
      </c>
      <c r="H41" s="249">
        <f t="shared" si="46"/>
        <v>310.70595</v>
      </c>
      <c r="I41" s="249">
        <f t="shared" si="47"/>
        <v>2568.8601166666667</v>
      </c>
      <c r="J41" s="248">
        <f t="shared" si="50"/>
        <v>257.5</v>
      </c>
      <c r="K41" s="249">
        <f t="shared" si="48"/>
        <v>257.5</v>
      </c>
      <c r="L41" s="306">
        <f t="shared" si="51"/>
        <v>24</v>
      </c>
      <c r="M41" s="250">
        <f t="shared" si="52"/>
        <v>24</v>
      </c>
      <c r="N41" s="69"/>
      <c r="O41" s="651">
        <f t="shared" si="41"/>
        <v>2024</v>
      </c>
      <c r="P41" s="248">
        <v>0</v>
      </c>
      <c r="Q41" s="69"/>
      <c r="R41" s="69"/>
      <c r="S41" s="69"/>
      <c r="T41" s="20" t="s">
        <v>209</v>
      </c>
      <c r="U41" s="20"/>
      <c r="V41" s="69"/>
      <c r="W41" s="219" t="s">
        <v>607</v>
      </c>
      <c r="X41" s="318"/>
      <c r="Y41" s="318"/>
      <c r="Z41" s="319"/>
      <c r="AA41" s="69"/>
      <c r="AB41" s="69"/>
      <c r="AC41" s="69"/>
      <c r="AD41" s="265">
        <v>67</v>
      </c>
      <c r="AE41" s="590">
        <v>5.7</v>
      </c>
      <c r="AF41" s="268"/>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row>
    <row r="42" spans="1:59" ht="12.75">
      <c r="A42" s="246" t="s">
        <v>243</v>
      </c>
      <c r="B42" s="247"/>
      <c r="C42" s="248">
        <f t="shared" si="43"/>
        <v>1726.1441666666667</v>
      </c>
      <c r="D42" s="248">
        <f t="shared" si="43"/>
        <v>0</v>
      </c>
      <c r="E42" s="249">
        <f t="shared" si="44"/>
        <v>1726.1441666666667</v>
      </c>
      <c r="F42" s="248">
        <f t="shared" si="49"/>
        <v>532.01</v>
      </c>
      <c r="G42" s="249">
        <f t="shared" si="45"/>
        <v>2258.1541666666667</v>
      </c>
      <c r="H42" s="249">
        <f t="shared" si="46"/>
        <v>310.70595</v>
      </c>
      <c r="I42" s="249">
        <f t="shared" si="47"/>
        <v>2568.8601166666667</v>
      </c>
      <c r="J42" s="248">
        <f t="shared" si="50"/>
        <v>257.5</v>
      </c>
      <c r="K42" s="249">
        <f t="shared" si="48"/>
        <v>257.5</v>
      </c>
      <c r="L42" s="306">
        <f t="shared" si="51"/>
        <v>24</v>
      </c>
      <c r="M42" s="250">
        <f t="shared" si="52"/>
        <v>24</v>
      </c>
      <c r="N42" s="69"/>
      <c r="O42" s="651">
        <f t="shared" si="41"/>
        <v>2025</v>
      </c>
      <c r="P42" s="248">
        <v>0</v>
      </c>
      <c r="Q42" s="69"/>
      <c r="R42" s="69"/>
      <c r="S42" s="69"/>
      <c r="T42" s="20">
        <v>1</v>
      </c>
      <c r="U42" s="297">
        <v>58.5</v>
      </c>
      <c r="V42" s="69"/>
      <c r="W42" s="22">
        <v>1</v>
      </c>
      <c r="X42" s="146">
        <v>517.26</v>
      </c>
      <c r="Y42" s="258">
        <v>6207.12</v>
      </c>
      <c r="Z42" s="22">
        <v>36</v>
      </c>
      <c r="AA42" s="69"/>
      <c r="AB42" s="69"/>
      <c r="AC42" s="69"/>
      <c r="AD42" s="265">
        <v>68</v>
      </c>
      <c r="AE42" s="590">
        <v>5.91</v>
      </c>
      <c r="AF42" s="268"/>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row>
    <row r="43" spans="1:59" ht="17.25" customHeight="1">
      <c r="A43" s="246" t="s">
        <v>244</v>
      </c>
      <c r="B43" s="247"/>
      <c r="C43" s="248">
        <f t="shared" si="43"/>
        <v>1726.1441666666667</v>
      </c>
      <c r="D43" s="248">
        <f t="shared" si="43"/>
        <v>0</v>
      </c>
      <c r="E43" s="249">
        <f t="shared" si="44"/>
        <v>1726.1441666666667</v>
      </c>
      <c r="F43" s="248">
        <f t="shared" si="49"/>
        <v>532.01</v>
      </c>
      <c r="G43" s="249">
        <f t="shared" si="45"/>
        <v>2258.1541666666667</v>
      </c>
      <c r="H43" s="249">
        <f t="shared" si="46"/>
        <v>310.70595</v>
      </c>
      <c r="I43" s="249">
        <f t="shared" si="47"/>
        <v>2568.8601166666667</v>
      </c>
      <c r="J43" s="248">
        <f t="shared" si="50"/>
        <v>257.5</v>
      </c>
      <c r="K43" s="249">
        <f t="shared" si="48"/>
        <v>257.5</v>
      </c>
      <c r="L43" s="306">
        <f t="shared" si="51"/>
        <v>24</v>
      </c>
      <c r="M43" s="250">
        <f t="shared" si="52"/>
        <v>24</v>
      </c>
      <c r="N43" s="69"/>
      <c r="O43" s="69"/>
      <c r="P43" s="69"/>
      <c r="Q43" s="69"/>
      <c r="R43" s="69"/>
      <c r="S43" s="69"/>
      <c r="T43" s="20">
        <v>2</v>
      </c>
      <c r="U43" s="297">
        <v>64.5</v>
      </c>
      <c r="V43" s="69"/>
      <c r="W43" s="22">
        <v>2</v>
      </c>
      <c r="X43" s="146">
        <v>523.34</v>
      </c>
      <c r="Y43" s="258">
        <v>6280.08</v>
      </c>
      <c r="Z43" s="22">
        <v>36</v>
      </c>
      <c r="AA43" s="69"/>
      <c r="AB43" s="69"/>
      <c r="AC43" s="69"/>
      <c r="AD43" s="265">
        <v>69</v>
      </c>
      <c r="AE43" s="590">
        <v>6.135</v>
      </c>
      <c r="AF43" s="268"/>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row>
    <row r="44" spans="1:59" ht="12">
      <c r="A44" s="246" t="s">
        <v>245</v>
      </c>
      <c r="B44" s="247"/>
      <c r="C44" s="248">
        <f t="shared" si="43"/>
        <v>1726.1441666666667</v>
      </c>
      <c r="D44" s="248">
        <f t="shared" si="43"/>
        <v>0</v>
      </c>
      <c r="E44" s="249">
        <f t="shared" si="44"/>
        <v>1726.1441666666667</v>
      </c>
      <c r="F44" s="248">
        <f t="shared" si="49"/>
        <v>532.01</v>
      </c>
      <c r="G44" s="249">
        <f t="shared" si="45"/>
        <v>2258.1541666666667</v>
      </c>
      <c r="H44" s="249">
        <f t="shared" si="46"/>
        <v>310.70595</v>
      </c>
      <c r="I44" s="249">
        <f t="shared" si="47"/>
        <v>2568.8601166666667</v>
      </c>
      <c r="J44" s="248">
        <f t="shared" si="50"/>
        <v>257.5</v>
      </c>
      <c r="K44" s="249">
        <f t="shared" si="48"/>
        <v>257.5</v>
      </c>
      <c r="L44" s="306">
        <f t="shared" si="51"/>
        <v>24</v>
      </c>
      <c r="M44" s="250">
        <f t="shared" si="52"/>
        <v>24</v>
      </c>
      <c r="N44" s="69"/>
      <c r="O44" s="69"/>
      <c r="P44" s="69"/>
      <c r="Q44" s="69"/>
      <c r="R44" s="69"/>
      <c r="S44" s="69"/>
      <c r="T44" s="20">
        <v>3</v>
      </c>
      <c r="U44" s="297">
        <v>132.21</v>
      </c>
      <c r="V44" s="69"/>
      <c r="W44" s="22">
        <v>3</v>
      </c>
      <c r="X44" s="146">
        <v>530.98</v>
      </c>
      <c r="Y44" s="258">
        <v>6371.76</v>
      </c>
      <c r="Z44" s="22">
        <v>36</v>
      </c>
      <c r="AA44" s="69"/>
      <c r="AB44" s="69"/>
      <c r="AC44" s="69"/>
      <c r="AD44" s="271">
        <v>70</v>
      </c>
      <c r="AE44" s="591">
        <v>6.378</v>
      </c>
      <c r="AF44" s="155"/>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row>
    <row r="45" spans="1:59" ht="12">
      <c r="A45" s="246" t="s">
        <v>246</v>
      </c>
      <c r="B45" s="247"/>
      <c r="C45" s="248">
        <f t="shared" si="43"/>
        <v>1726.1441666666667</v>
      </c>
      <c r="D45" s="248">
        <f>D44</f>
        <v>0</v>
      </c>
      <c r="E45" s="249">
        <f t="shared" si="44"/>
        <v>1726.1441666666667</v>
      </c>
      <c r="F45" s="248">
        <f t="shared" si="49"/>
        <v>532.01</v>
      </c>
      <c r="G45" s="249">
        <f t="shared" si="45"/>
        <v>2258.1541666666667</v>
      </c>
      <c r="H45" s="249">
        <f t="shared" si="46"/>
        <v>310.70595</v>
      </c>
      <c r="I45" s="249">
        <f t="shared" si="47"/>
        <v>2568.8601166666667</v>
      </c>
      <c r="J45" s="248">
        <f t="shared" si="50"/>
        <v>257.5</v>
      </c>
      <c r="K45" s="249">
        <f t="shared" si="48"/>
        <v>257.5</v>
      </c>
      <c r="L45" s="306">
        <f t="shared" si="51"/>
        <v>24</v>
      </c>
      <c r="M45" s="250">
        <f t="shared" si="52"/>
        <v>24</v>
      </c>
      <c r="N45" s="69"/>
      <c r="O45" s="69"/>
      <c r="P45" s="69"/>
      <c r="Q45" s="69"/>
      <c r="R45" s="69"/>
      <c r="S45" s="69"/>
      <c r="T45" s="20">
        <v>0</v>
      </c>
      <c r="U45" s="297">
        <v>164</v>
      </c>
      <c r="V45" s="69"/>
      <c r="W45" s="22">
        <v>4</v>
      </c>
      <c r="X45" s="146">
        <v>532.01</v>
      </c>
      <c r="Y45" s="258">
        <v>6384.12</v>
      </c>
      <c r="Z45" s="22">
        <v>25</v>
      </c>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row>
    <row r="46" spans="1:59" ht="12">
      <c r="A46" s="246" t="s">
        <v>247</v>
      </c>
      <c r="B46" s="247"/>
      <c r="C46" s="248">
        <f t="shared" si="43"/>
        <v>1726.1441666666667</v>
      </c>
      <c r="D46" s="248">
        <f>D45</f>
        <v>0</v>
      </c>
      <c r="E46" s="249">
        <f t="shared" si="44"/>
        <v>1726.1441666666667</v>
      </c>
      <c r="F46" s="248">
        <f t="shared" si="49"/>
        <v>532.01</v>
      </c>
      <c r="G46" s="249">
        <f t="shared" si="45"/>
        <v>2258.1541666666667</v>
      </c>
      <c r="H46" s="249">
        <f t="shared" si="46"/>
        <v>310.70595</v>
      </c>
      <c r="I46" s="249">
        <f t="shared" si="47"/>
        <v>2568.8601166666667</v>
      </c>
      <c r="J46" s="248">
        <f t="shared" si="50"/>
        <v>257.5</v>
      </c>
      <c r="K46" s="249">
        <f t="shared" si="48"/>
        <v>257.5</v>
      </c>
      <c r="L46" s="306">
        <f t="shared" si="51"/>
        <v>24</v>
      </c>
      <c r="M46" s="250">
        <f t="shared" si="52"/>
        <v>24</v>
      </c>
      <c r="N46" s="69"/>
      <c r="O46" s="69"/>
      <c r="P46" s="69"/>
      <c r="Q46" s="69"/>
      <c r="R46" s="69"/>
      <c r="S46" s="69"/>
      <c r="T46" s="20">
        <v>3</v>
      </c>
      <c r="U46" s="297">
        <v>164</v>
      </c>
      <c r="V46" s="69"/>
      <c r="W46" s="22">
        <v>5</v>
      </c>
      <c r="X46" s="146">
        <v>532.01</v>
      </c>
      <c r="Y46" s="258">
        <v>6384.12</v>
      </c>
      <c r="Z46" s="22">
        <v>24</v>
      </c>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row>
    <row r="47" spans="1:59" ht="12">
      <c r="A47" s="246" t="s">
        <v>248</v>
      </c>
      <c r="B47" s="247"/>
      <c r="C47" s="248">
        <f t="shared" si="43"/>
        <v>1726.1441666666667</v>
      </c>
      <c r="D47" s="248">
        <f>D46</f>
        <v>0</v>
      </c>
      <c r="E47" s="249">
        <f t="shared" si="44"/>
        <v>1726.1441666666667</v>
      </c>
      <c r="F47" s="248">
        <f t="shared" si="49"/>
        <v>532.01</v>
      </c>
      <c r="G47" s="249">
        <f t="shared" si="45"/>
        <v>2258.1541666666667</v>
      </c>
      <c r="H47" s="249">
        <f t="shared" si="46"/>
        <v>310.70595</v>
      </c>
      <c r="I47" s="249">
        <f t="shared" si="47"/>
        <v>2568.8601166666667</v>
      </c>
      <c r="J47" s="248">
        <f t="shared" si="50"/>
        <v>257.5</v>
      </c>
      <c r="K47" s="249">
        <f t="shared" si="48"/>
        <v>257.5</v>
      </c>
      <c r="L47" s="306">
        <f t="shared" si="51"/>
        <v>24</v>
      </c>
      <c r="M47" s="250">
        <f t="shared" si="52"/>
        <v>24</v>
      </c>
      <c r="N47" s="69"/>
      <c r="O47" s="69"/>
      <c r="P47" s="69"/>
      <c r="Q47" s="69"/>
      <c r="R47" s="69"/>
      <c r="S47" s="69"/>
      <c r="T47" s="20">
        <v>9</v>
      </c>
      <c r="U47" s="297">
        <v>164</v>
      </c>
      <c r="V47" s="69"/>
      <c r="W47" s="22">
        <v>6</v>
      </c>
      <c r="X47" s="146">
        <v>532.01</v>
      </c>
      <c r="Y47" s="258">
        <v>6384.12</v>
      </c>
      <c r="Z47" s="22">
        <v>18</v>
      </c>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row>
    <row r="48" spans="1:59" ht="12">
      <c r="A48" s="246" t="s">
        <v>249</v>
      </c>
      <c r="B48" s="247"/>
      <c r="C48" s="248">
        <f t="shared" si="43"/>
        <v>1726.1441666666667</v>
      </c>
      <c r="D48" s="248">
        <f>D47</f>
        <v>0</v>
      </c>
      <c r="E48" s="249">
        <f t="shared" si="44"/>
        <v>1726.1441666666667</v>
      </c>
      <c r="F48" s="248">
        <f t="shared" si="49"/>
        <v>532.01</v>
      </c>
      <c r="G48" s="249">
        <f t="shared" si="45"/>
        <v>2258.1541666666667</v>
      </c>
      <c r="H48" s="249">
        <f>E48*0.18</f>
        <v>310.70595</v>
      </c>
      <c r="I48" s="249">
        <f t="shared" si="47"/>
        <v>2568.8601166666667</v>
      </c>
      <c r="J48" s="248">
        <f t="shared" si="50"/>
        <v>257.5</v>
      </c>
      <c r="K48" s="249">
        <f t="shared" si="48"/>
        <v>257.5</v>
      </c>
      <c r="L48" s="306">
        <f t="shared" si="51"/>
        <v>24</v>
      </c>
      <c r="M48" s="250">
        <f t="shared" si="52"/>
        <v>24</v>
      </c>
      <c r="N48" s="69"/>
      <c r="O48" s="69"/>
      <c r="P48" s="69"/>
      <c r="Q48" s="69"/>
      <c r="R48" s="69"/>
      <c r="S48" s="69"/>
      <c r="T48" s="20">
        <v>15</v>
      </c>
      <c r="U48" s="297">
        <v>202</v>
      </c>
      <c r="V48" s="69"/>
      <c r="W48" s="22">
        <v>7</v>
      </c>
      <c r="X48" s="146">
        <v>538.3</v>
      </c>
      <c r="Y48" s="258">
        <v>6459.6</v>
      </c>
      <c r="Z48" s="22">
        <v>18</v>
      </c>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row>
    <row r="49" spans="1:59" ht="12.75">
      <c r="A49" s="243">
        <f>A36+1</f>
        <v>2015</v>
      </c>
      <c r="B49" s="252"/>
      <c r="C49" s="252"/>
      <c r="D49" s="252"/>
      <c r="E49" s="244">
        <f>SUM(E50:E61)</f>
        <v>20713.729999999996</v>
      </c>
      <c r="F49" s="252"/>
      <c r="G49" s="244">
        <f aca="true" t="shared" si="53" ref="G49:M49">SUM(G50:G61)</f>
        <v>27097.850000000002</v>
      </c>
      <c r="H49" s="244">
        <f t="shared" si="53"/>
        <v>3728.4714</v>
      </c>
      <c r="I49" s="244">
        <f t="shared" si="53"/>
        <v>30826.3214</v>
      </c>
      <c r="J49" s="244">
        <f t="shared" si="53"/>
        <v>3090</v>
      </c>
      <c r="K49" s="244">
        <f t="shared" si="53"/>
        <v>3090</v>
      </c>
      <c r="L49" s="245">
        <f t="shared" si="53"/>
        <v>288</v>
      </c>
      <c r="M49" s="245">
        <f t="shared" si="53"/>
        <v>288</v>
      </c>
      <c r="N49" s="725">
        <f>ROUND((M49/L49),5)</f>
        <v>1</v>
      </c>
      <c r="O49" s="69"/>
      <c r="P49" s="69"/>
      <c r="Q49" s="69"/>
      <c r="R49" s="69"/>
      <c r="S49" s="69"/>
      <c r="T49" s="20">
        <v>21</v>
      </c>
      <c r="U49" s="297">
        <v>202</v>
      </c>
      <c r="V49" s="69"/>
      <c r="W49" s="22">
        <v>8</v>
      </c>
      <c r="X49" s="146">
        <v>538.3</v>
      </c>
      <c r="Y49" s="258">
        <v>6459.6</v>
      </c>
      <c r="Z49" s="22">
        <v>18</v>
      </c>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row>
    <row r="50" spans="1:59" ht="12">
      <c r="A50" s="246" t="s">
        <v>238</v>
      </c>
      <c r="B50" s="316">
        <f>CalcoloA!N36</f>
        <v>28</v>
      </c>
      <c r="C50" s="248">
        <f>AC7</f>
        <v>1726.1441666666667</v>
      </c>
      <c r="D50" s="248">
        <f>D48</f>
        <v>0</v>
      </c>
      <c r="E50" s="249">
        <f>C50+D50</f>
        <v>1726.1441666666667</v>
      </c>
      <c r="F50" s="248">
        <f>F48</f>
        <v>532.01</v>
      </c>
      <c r="G50" s="249">
        <f>SUM(E50:F50)</f>
        <v>2258.1541666666667</v>
      </c>
      <c r="H50" s="249">
        <f>E50*0.18</f>
        <v>310.70595</v>
      </c>
      <c r="I50" s="249">
        <f>(G50+H50)/L50*M50</f>
        <v>2568.8601166666667</v>
      </c>
      <c r="J50" s="248">
        <f>J48</f>
        <v>257.5</v>
      </c>
      <c r="K50" s="249">
        <f>J50/L50*M50</f>
        <v>257.5</v>
      </c>
      <c r="L50" s="306">
        <f>L48</f>
        <v>24</v>
      </c>
      <c r="M50" s="250">
        <f>M48</f>
        <v>24</v>
      </c>
      <c r="N50" s="69"/>
      <c r="O50" s="69"/>
      <c r="P50" s="69"/>
      <c r="Q50" s="69"/>
      <c r="R50" s="69"/>
      <c r="S50" s="69"/>
      <c r="T50" s="20">
        <v>28</v>
      </c>
      <c r="U50" s="297">
        <v>257.5</v>
      </c>
      <c r="V50" s="69"/>
      <c r="W50" s="22">
        <v>9</v>
      </c>
      <c r="X50" s="146">
        <v>553.45</v>
      </c>
      <c r="Y50" s="258">
        <v>6641.4</v>
      </c>
      <c r="Z50" s="22">
        <v>36</v>
      </c>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row>
    <row r="51" spans="1:59" ht="12">
      <c r="A51" s="246" t="s">
        <v>239</v>
      </c>
      <c r="B51" s="247"/>
      <c r="C51" s="248">
        <f aca="true" t="shared" si="54" ref="C51:C61">C50</f>
        <v>1726.1441666666667</v>
      </c>
      <c r="D51" s="248">
        <f aca="true" t="shared" si="55" ref="D51:D61">D50</f>
        <v>0</v>
      </c>
      <c r="E51" s="249">
        <f aca="true" t="shared" si="56" ref="E51:E61">C51+D51</f>
        <v>1726.1441666666667</v>
      </c>
      <c r="F51" s="248">
        <f>F50</f>
        <v>532.01</v>
      </c>
      <c r="G51" s="249">
        <f aca="true" t="shared" si="57" ref="G51:G61">SUM(E51:F51)</f>
        <v>2258.1541666666667</v>
      </c>
      <c r="H51" s="249">
        <f aca="true" t="shared" si="58" ref="H51:H60">E51*0.18</f>
        <v>310.70595</v>
      </c>
      <c r="I51" s="249">
        <f aca="true" t="shared" si="59" ref="I51:I61">(G51+H51)/L51*M51</f>
        <v>2568.8601166666667</v>
      </c>
      <c r="J51" s="248">
        <f>J50</f>
        <v>257.5</v>
      </c>
      <c r="K51" s="249">
        <f aca="true" t="shared" si="60" ref="K51:K61">J51/L51*M51</f>
        <v>257.5</v>
      </c>
      <c r="L51" s="306">
        <f>L50</f>
        <v>24</v>
      </c>
      <c r="M51" s="250">
        <f>M50</f>
        <v>24</v>
      </c>
      <c r="N51" s="69"/>
      <c r="O51" s="69"/>
      <c r="P51" s="69"/>
      <c r="Q51" s="69"/>
      <c r="R51" s="69"/>
      <c r="S51" s="69"/>
      <c r="T51" s="20">
        <v>35</v>
      </c>
      <c r="U51" s="297">
        <v>257.5</v>
      </c>
      <c r="V51" s="69"/>
      <c r="W51" s="22">
        <v>10</v>
      </c>
      <c r="X51" s="146">
        <v>558.77</v>
      </c>
      <c r="Y51" s="258">
        <v>6705.24</v>
      </c>
      <c r="Z51" s="22">
        <v>36</v>
      </c>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row>
    <row r="52" spans="1:59" ht="12">
      <c r="A52" s="246" t="s">
        <v>240</v>
      </c>
      <c r="B52" s="247"/>
      <c r="C52" s="248">
        <f t="shared" si="54"/>
        <v>1726.1441666666667</v>
      </c>
      <c r="D52" s="248">
        <f t="shared" si="55"/>
        <v>0</v>
      </c>
      <c r="E52" s="249">
        <f t="shared" si="56"/>
        <v>1726.1441666666667</v>
      </c>
      <c r="F52" s="248">
        <f aca="true" t="shared" si="61" ref="F52:F61">F51</f>
        <v>532.01</v>
      </c>
      <c r="G52" s="249">
        <f t="shared" si="57"/>
        <v>2258.1541666666667</v>
      </c>
      <c r="H52" s="249">
        <f t="shared" si="58"/>
        <v>310.70595</v>
      </c>
      <c r="I52" s="249">
        <f t="shared" si="59"/>
        <v>2568.8601166666667</v>
      </c>
      <c r="J52" s="248">
        <f aca="true" t="shared" si="62" ref="J52:J61">J51</f>
        <v>257.5</v>
      </c>
      <c r="K52" s="249">
        <f t="shared" si="60"/>
        <v>257.5</v>
      </c>
      <c r="L52" s="306">
        <f aca="true" t="shared" si="63" ref="L52:L61">L51</f>
        <v>24</v>
      </c>
      <c r="M52" s="250">
        <f aca="true" t="shared" si="64" ref="M52:M61">M51</f>
        <v>24</v>
      </c>
      <c r="N52" s="69"/>
      <c r="O52" s="69"/>
      <c r="P52" s="69"/>
      <c r="Q52" s="69"/>
      <c r="R52" s="69"/>
      <c r="S52" s="69"/>
      <c r="T52" s="318"/>
      <c r="U52" s="31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row>
    <row r="53" spans="1:59" ht="12">
      <c r="A53" s="246" t="s">
        <v>241</v>
      </c>
      <c r="B53" s="247"/>
      <c r="C53" s="248">
        <f t="shared" si="54"/>
        <v>1726.1441666666667</v>
      </c>
      <c r="D53" s="248">
        <f t="shared" si="55"/>
        <v>0</v>
      </c>
      <c r="E53" s="249">
        <f t="shared" si="56"/>
        <v>1726.1441666666667</v>
      </c>
      <c r="F53" s="248">
        <f t="shared" si="61"/>
        <v>532.01</v>
      </c>
      <c r="G53" s="249">
        <f t="shared" si="57"/>
        <v>2258.1541666666667</v>
      </c>
      <c r="H53" s="249">
        <f t="shared" si="58"/>
        <v>310.70595</v>
      </c>
      <c r="I53" s="249">
        <f t="shared" si="59"/>
        <v>2568.8601166666667</v>
      </c>
      <c r="J53" s="248">
        <f t="shared" si="62"/>
        <v>257.5</v>
      </c>
      <c r="K53" s="249">
        <f t="shared" si="60"/>
        <v>257.5</v>
      </c>
      <c r="L53" s="306">
        <f t="shared" si="63"/>
        <v>24</v>
      </c>
      <c r="M53" s="250">
        <f t="shared" si="64"/>
        <v>24</v>
      </c>
      <c r="N53" s="69"/>
      <c r="O53" s="69"/>
      <c r="P53" s="69"/>
      <c r="Q53" s="69"/>
      <c r="R53" s="69"/>
      <c r="S53" s="69"/>
      <c r="T53" s="253">
        <f>Datipers!B25</f>
        <v>28</v>
      </c>
      <c r="U53" s="253">
        <f>Datipers!C13</f>
        <v>5</v>
      </c>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row>
    <row r="54" spans="1:59" ht="12">
      <c r="A54" s="246" t="s">
        <v>242</v>
      </c>
      <c r="B54" s="247"/>
      <c r="C54" s="248">
        <f t="shared" si="54"/>
        <v>1726.1441666666667</v>
      </c>
      <c r="D54" s="248">
        <f t="shared" si="55"/>
        <v>0</v>
      </c>
      <c r="E54" s="249">
        <f t="shared" si="56"/>
        <v>1726.1441666666667</v>
      </c>
      <c r="F54" s="248">
        <f t="shared" si="61"/>
        <v>532.01</v>
      </c>
      <c r="G54" s="249">
        <f t="shared" si="57"/>
        <v>2258.1541666666667</v>
      </c>
      <c r="H54" s="249">
        <f t="shared" si="58"/>
        <v>310.70595</v>
      </c>
      <c r="I54" s="249">
        <f t="shared" si="59"/>
        <v>2568.8601166666667</v>
      </c>
      <c r="J54" s="248">
        <f t="shared" si="62"/>
        <v>257.5</v>
      </c>
      <c r="K54" s="249">
        <f t="shared" si="60"/>
        <v>257.5</v>
      </c>
      <c r="L54" s="306">
        <f t="shared" si="63"/>
        <v>24</v>
      </c>
      <c r="M54" s="250">
        <f t="shared" si="64"/>
        <v>24</v>
      </c>
      <c r="N54" s="69"/>
      <c r="O54" s="69"/>
      <c r="P54" s="69"/>
      <c r="Q54" s="69"/>
      <c r="R54" s="69"/>
      <c r="S54" s="69"/>
      <c r="T54" s="297">
        <f>IF(U53=1,U42,IF(U53=2,U43,IF(U53=3,U44,IF(U53&gt;3,BD8,0))))</f>
        <v>0</v>
      </c>
      <c r="U54" s="297">
        <f>VLOOKUP(T53,T45:U51,2)</f>
        <v>257.5</v>
      </c>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row>
    <row r="55" spans="1:59" ht="12.75">
      <c r="A55" s="246" t="s">
        <v>243</v>
      </c>
      <c r="B55" s="247"/>
      <c r="C55" s="248">
        <f t="shared" si="54"/>
        <v>1726.1441666666667</v>
      </c>
      <c r="D55" s="248">
        <f t="shared" si="55"/>
        <v>0</v>
      </c>
      <c r="E55" s="249">
        <f t="shared" si="56"/>
        <v>1726.1441666666667</v>
      </c>
      <c r="F55" s="248">
        <f t="shared" si="61"/>
        <v>532.01</v>
      </c>
      <c r="G55" s="249">
        <f t="shared" si="57"/>
        <v>2258.1541666666667</v>
      </c>
      <c r="H55" s="249">
        <f t="shared" si="58"/>
        <v>310.70595</v>
      </c>
      <c r="I55" s="249">
        <f t="shared" si="59"/>
        <v>2568.8601166666667</v>
      </c>
      <c r="J55" s="248">
        <f t="shared" si="62"/>
        <v>257.5</v>
      </c>
      <c r="K55" s="249">
        <f t="shared" si="60"/>
        <v>257.5</v>
      </c>
      <c r="L55" s="306">
        <f t="shared" si="63"/>
        <v>24</v>
      </c>
      <c r="M55" s="250">
        <f t="shared" si="64"/>
        <v>24</v>
      </c>
      <c r="N55" s="69"/>
      <c r="O55" s="69"/>
      <c r="P55" s="69"/>
      <c r="Q55" s="69"/>
      <c r="R55" s="69"/>
      <c r="S55" s="69"/>
      <c r="T55" s="154">
        <f>IF(U53&lt;4,T54,U54)</f>
        <v>257.5</v>
      </c>
      <c r="U55" s="317"/>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row>
    <row r="56" spans="1:59" ht="12">
      <c r="A56" s="246" t="s">
        <v>244</v>
      </c>
      <c r="B56" s="247"/>
      <c r="C56" s="248">
        <f t="shared" si="54"/>
        <v>1726.1441666666667</v>
      </c>
      <c r="D56" s="248">
        <f t="shared" si="55"/>
        <v>0</v>
      </c>
      <c r="E56" s="249">
        <f t="shared" si="56"/>
        <v>1726.1441666666667</v>
      </c>
      <c r="F56" s="248">
        <f t="shared" si="61"/>
        <v>532.01</v>
      </c>
      <c r="G56" s="249">
        <f t="shared" si="57"/>
        <v>2258.1541666666667</v>
      </c>
      <c r="H56" s="249">
        <f t="shared" si="58"/>
        <v>310.70595</v>
      </c>
      <c r="I56" s="249">
        <f t="shared" si="59"/>
        <v>2568.8601166666667</v>
      </c>
      <c r="J56" s="248">
        <f t="shared" si="62"/>
        <v>257.5</v>
      </c>
      <c r="K56" s="249">
        <f t="shared" si="60"/>
        <v>257.5</v>
      </c>
      <c r="L56" s="306">
        <f t="shared" si="63"/>
        <v>24</v>
      </c>
      <c r="M56" s="250">
        <f t="shared" si="64"/>
        <v>24</v>
      </c>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row>
    <row r="57" spans="1:59" ht="12">
      <c r="A57" s="246" t="s">
        <v>245</v>
      </c>
      <c r="B57" s="247"/>
      <c r="C57" s="248">
        <f t="shared" si="54"/>
        <v>1726.1441666666667</v>
      </c>
      <c r="D57" s="248">
        <f t="shared" si="55"/>
        <v>0</v>
      </c>
      <c r="E57" s="249">
        <f t="shared" si="56"/>
        <v>1726.1441666666667</v>
      </c>
      <c r="F57" s="248">
        <f t="shared" si="61"/>
        <v>532.01</v>
      </c>
      <c r="G57" s="249">
        <f t="shared" si="57"/>
        <v>2258.1541666666667</v>
      </c>
      <c r="H57" s="249">
        <f t="shared" si="58"/>
        <v>310.70595</v>
      </c>
      <c r="I57" s="249">
        <f t="shared" si="59"/>
        <v>2568.8601166666667</v>
      </c>
      <c r="J57" s="248">
        <f t="shared" si="62"/>
        <v>257.5</v>
      </c>
      <c r="K57" s="249">
        <f t="shared" si="60"/>
        <v>257.5</v>
      </c>
      <c r="L57" s="306">
        <f t="shared" si="63"/>
        <v>24</v>
      </c>
      <c r="M57" s="250">
        <f t="shared" si="64"/>
        <v>24</v>
      </c>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row>
    <row r="58" spans="1:59" ht="12">
      <c r="A58" s="246" t="s">
        <v>246</v>
      </c>
      <c r="B58" s="247"/>
      <c r="C58" s="248">
        <f t="shared" si="54"/>
        <v>1726.1441666666667</v>
      </c>
      <c r="D58" s="248">
        <f t="shared" si="55"/>
        <v>0</v>
      </c>
      <c r="E58" s="249">
        <f t="shared" si="56"/>
        <v>1726.1441666666667</v>
      </c>
      <c r="F58" s="248">
        <f t="shared" si="61"/>
        <v>532.01</v>
      </c>
      <c r="G58" s="249">
        <f t="shared" si="57"/>
        <v>2258.1541666666667</v>
      </c>
      <c r="H58" s="249">
        <f t="shared" si="58"/>
        <v>310.70595</v>
      </c>
      <c r="I58" s="249">
        <f t="shared" si="59"/>
        <v>2568.8601166666667</v>
      </c>
      <c r="J58" s="248">
        <f t="shared" si="62"/>
        <v>257.5</v>
      </c>
      <c r="K58" s="249">
        <f t="shared" si="60"/>
        <v>257.5</v>
      </c>
      <c r="L58" s="306">
        <f t="shared" si="63"/>
        <v>24</v>
      </c>
      <c r="M58" s="250">
        <f t="shared" si="64"/>
        <v>24</v>
      </c>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row>
    <row r="59" spans="1:59" ht="12">
      <c r="A59" s="246" t="s">
        <v>247</v>
      </c>
      <c r="B59" s="247"/>
      <c r="C59" s="248">
        <f t="shared" si="54"/>
        <v>1726.1441666666667</v>
      </c>
      <c r="D59" s="248">
        <f t="shared" si="55"/>
        <v>0</v>
      </c>
      <c r="E59" s="249">
        <f t="shared" si="56"/>
        <v>1726.1441666666667</v>
      </c>
      <c r="F59" s="248">
        <f t="shared" si="61"/>
        <v>532.01</v>
      </c>
      <c r="G59" s="249">
        <f t="shared" si="57"/>
        <v>2258.1541666666667</v>
      </c>
      <c r="H59" s="249">
        <f t="shared" si="58"/>
        <v>310.70595</v>
      </c>
      <c r="I59" s="249">
        <f t="shared" si="59"/>
        <v>2568.8601166666667</v>
      </c>
      <c r="J59" s="248">
        <f t="shared" si="62"/>
        <v>257.5</v>
      </c>
      <c r="K59" s="249">
        <f t="shared" si="60"/>
        <v>257.5</v>
      </c>
      <c r="L59" s="306">
        <f t="shared" si="63"/>
        <v>24</v>
      </c>
      <c r="M59" s="250">
        <f t="shared" si="64"/>
        <v>24</v>
      </c>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row>
    <row r="60" spans="1:59" ht="12">
      <c r="A60" s="246" t="s">
        <v>248</v>
      </c>
      <c r="B60" s="247"/>
      <c r="C60" s="248">
        <f t="shared" si="54"/>
        <v>1726.1441666666667</v>
      </c>
      <c r="D60" s="248">
        <f t="shared" si="55"/>
        <v>0</v>
      </c>
      <c r="E60" s="249">
        <f t="shared" si="56"/>
        <v>1726.1441666666667</v>
      </c>
      <c r="F60" s="248">
        <f t="shared" si="61"/>
        <v>532.01</v>
      </c>
      <c r="G60" s="249">
        <f t="shared" si="57"/>
        <v>2258.1541666666667</v>
      </c>
      <c r="H60" s="249">
        <f t="shared" si="58"/>
        <v>310.70595</v>
      </c>
      <c r="I60" s="249">
        <f t="shared" si="59"/>
        <v>2568.8601166666667</v>
      </c>
      <c r="J60" s="248">
        <f t="shared" si="62"/>
        <v>257.5</v>
      </c>
      <c r="K60" s="249">
        <f t="shared" si="60"/>
        <v>257.5</v>
      </c>
      <c r="L60" s="306">
        <f t="shared" si="63"/>
        <v>24</v>
      </c>
      <c r="M60" s="250">
        <f t="shared" si="64"/>
        <v>24</v>
      </c>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row>
    <row r="61" spans="1:59" ht="12">
      <c r="A61" s="246" t="s">
        <v>249</v>
      </c>
      <c r="B61" s="247"/>
      <c r="C61" s="248">
        <f t="shared" si="54"/>
        <v>1726.1441666666667</v>
      </c>
      <c r="D61" s="248">
        <f t="shared" si="55"/>
        <v>0</v>
      </c>
      <c r="E61" s="249">
        <f t="shared" si="56"/>
        <v>1726.1441666666667</v>
      </c>
      <c r="F61" s="248">
        <f t="shared" si="61"/>
        <v>532.01</v>
      </c>
      <c r="G61" s="249">
        <f t="shared" si="57"/>
        <v>2258.1541666666667</v>
      </c>
      <c r="H61" s="249">
        <f>E61*0.18</f>
        <v>310.70595</v>
      </c>
      <c r="I61" s="249">
        <f t="shared" si="59"/>
        <v>2568.8601166666667</v>
      </c>
      <c r="J61" s="248">
        <f t="shared" si="62"/>
        <v>257.5</v>
      </c>
      <c r="K61" s="249">
        <f t="shared" si="60"/>
        <v>257.5</v>
      </c>
      <c r="L61" s="306">
        <f t="shared" si="63"/>
        <v>24</v>
      </c>
      <c r="M61" s="250">
        <f t="shared" si="64"/>
        <v>24</v>
      </c>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row>
    <row r="62" spans="1:59" ht="12.75">
      <c r="A62" s="243">
        <f>A49+1</f>
        <v>2016</v>
      </c>
      <c r="B62" s="252"/>
      <c r="C62" s="252"/>
      <c r="D62" s="252"/>
      <c r="E62" s="244">
        <f>SUM(E63:E74)</f>
        <v>20713.729999999996</v>
      </c>
      <c r="F62" s="252"/>
      <c r="G62" s="244">
        <f aca="true" t="shared" si="65" ref="G62:M62">SUM(G63:G74)</f>
        <v>27097.850000000002</v>
      </c>
      <c r="H62" s="244">
        <f t="shared" si="65"/>
        <v>3728.4714</v>
      </c>
      <c r="I62" s="244">
        <f t="shared" si="65"/>
        <v>30826.3214</v>
      </c>
      <c r="J62" s="244">
        <f t="shared" si="65"/>
        <v>3090</v>
      </c>
      <c r="K62" s="244">
        <f t="shared" si="65"/>
        <v>3090</v>
      </c>
      <c r="L62" s="245">
        <f t="shared" si="65"/>
        <v>288</v>
      </c>
      <c r="M62" s="245">
        <f t="shared" si="65"/>
        <v>288</v>
      </c>
      <c r="N62" s="725">
        <f>ROUND((M62/L62),5)</f>
        <v>1</v>
      </c>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row>
    <row r="63" spans="1:59" ht="12">
      <c r="A63" s="246" t="s">
        <v>238</v>
      </c>
      <c r="B63" s="316">
        <f>CalcoloA!N35</f>
        <v>28</v>
      </c>
      <c r="C63" s="248">
        <f>AC8</f>
        <v>1726.1441666666667</v>
      </c>
      <c r="D63" s="248">
        <v>0</v>
      </c>
      <c r="E63" s="249">
        <f>C63+D63</f>
        <v>1726.1441666666667</v>
      </c>
      <c r="F63" s="248">
        <f>F61</f>
        <v>532.01</v>
      </c>
      <c r="G63" s="249">
        <f>SUM(E63:F63)</f>
        <v>2258.1541666666667</v>
      </c>
      <c r="H63" s="249">
        <f>E63*0.18</f>
        <v>310.70595</v>
      </c>
      <c r="I63" s="249">
        <f>(G63+H63)/L63*M63</f>
        <v>2568.8601166666667</v>
      </c>
      <c r="J63" s="248">
        <f>J61</f>
        <v>257.5</v>
      </c>
      <c r="K63" s="249">
        <f>J63/L63*M63</f>
        <v>257.5</v>
      </c>
      <c r="L63" s="306">
        <f>L61</f>
        <v>24</v>
      </c>
      <c r="M63" s="250">
        <f>M61</f>
        <v>24</v>
      </c>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row>
    <row r="64" spans="1:59" ht="12">
      <c r="A64" s="246" t="s">
        <v>239</v>
      </c>
      <c r="B64" s="247"/>
      <c r="C64" s="248">
        <f aca="true" t="shared" si="66" ref="C64:C74">C63</f>
        <v>1726.1441666666667</v>
      </c>
      <c r="D64" s="248">
        <f aca="true" t="shared" si="67" ref="D64:D74">D63</f>
        <v>0</v>
      </c>
      <c r="E64" s="249">
        <f aca="true" t="shared" si="68" ref="E64:E74">C64+D64</f>
        <v>1726.1441666666667</v>
      </c>
      <c r="F64" s="248">
        <f>F63</f>
        <v>532.01</v>
      </c>
      <c r="G64" s="249">
        <f aca="true" t="shared" si="69" ref="G64:G74">SUM(E64:F64)</f>
        <v>2258.1541666666667</v>
      </c>
      <c r="H64" s="249">
        <f aca="true" t="shared" si="70" ref="H64:H73">E64*0.18</f>
        <v>310.70595</v>
      </c>
      <c r="I64" s="249">
        <f aca="true" t="shared" si="71" ref="I64:I74">(G64+H64)/L64*M64</f>
        <v>2568.8601166666667</v>
      </c>
      <c r="J64" s="248">
        <f>J63</f>
        <v>257.5</v>
      </c>
      <c r="K64" s="249">
        <f aca="true" t="shared" si="72" ref="K64:K74">J64/L64*M64</f>
        <v>257.5</v>
      </c>
      <c r="L64" s="306">
        <f>L63</f>
        <v>24</v>
      </c>
      <c r="M64" s="250">
        <f>M63</f>
        <v>24</v>
      </c>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row>
    <row r="65" spans="1:59" ht="12">
      <c r="A65" s="246" t="s">
        <v>240</v>
      </c>
      <c r="B65" s="247"/>
      <c r="C65" s="248">
        <f t="shared" si="66"/>
        <v>1726.1441666666667</v>
      </c>
      <c r="D65" s="248">
        <f t="shared" si="67"/>
        <v>0</v>
      </c>
      <c r="E65" s="249">
        <f t="shared" si="68"/>
        <v>1726.1441666666667</v>
      </c>
      <c r="F65" s="248">
        <f aca="true" t="shared" si="73" ref="F65:F74">F64</f>
        <v>532.01</v>
      </c>
      <c r="G65" s="249">
        <f t="shared" si="69"/>
        <v>2258.1541666666667</v>
      </c>
      <c r="H65" s="249">
        <f t="shared" si="70"/>
        <v>310.70595</v>
      </c>
      <c r="I65" s="249">
        <f t="shared" si="71"/>
        <v>2568.8601166666667</v>
      </c>
      <c r="J65" s="248">
        <f aca="true" t="shared" si="74" ref="J65:J74">J64</f>
        <v>257.5</v>
      </c>
      <c r="K65" s="249">
        <f t="shared" si="72"/>
        <v>257.5</v>
      </c>
      <c r="L65" s="306">
        <f aca="true" t="shared" si="75" ref="L65:L74">L64</f>
        <v>24</v>
      </c>
      <c r="M65" s="250">
        <f aca="true" t="shared" si="76" ref="M65:M74">M64</f>
        <v>24</v>
      </c>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row>
    <row r="66" spans="1:59" ht="12">
      <c r="A66" s="246" t="s">
        <v>241</v>
      </c>
      <c r="B66" s="247"/>
      <c r="C66" s="248">
        <f t="shared" si="66"/>
        <v>1726.1441666666667</v>
      </c>
      <c r="D66" s="248">
        <f t="shared" si="67"/>
        <v>0</v>
      </c>
      <c r="E66" s="249">
        <f t="shared" si="68"/>
        <v>1726.1441666666667</v>
      </c>
      <c r="F66" s="248">
        <f t="shared" si="73"/>
        <v>532.01</v>
      </c>
      <c r="G66" s="249">
        <f t="shared" si="69"/>
        <v>2258.1541666666667</v>
      </c>
      <c r="H66" s="249">
        <f t="shared" si="70"/>
        <v>310.70595</v>
      </c>
      <c r="I66" s="249">
        <f t="shared" si="71"/>
        <v>2568.8601166666667</v>
      </c>
      <c r="J66" s="248">
        <f t="shared" si="74"/>
        <v>257.5</v>
      </c>
      <c r="K66" s="249">
        <f t="shared" si="72"/>
        <v>257.5</v>
      </c>
      <c r="L66" s="306">
        <f t="shared" si="75"/>
        <v>24</v>
      </c>
      <c r="M66" s="250">
        <f t="shared" si="76"/>
        <v>24</v>
      </c>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row>
    <row r="67" spans="1:59" ht="12">
      <c r="A67" s="246" t="s">
        <v>242</v>
      </c>
      <c r="B67" s="247"/>
      <c r="C67" s="248">
        <f t="shared" si="66"/>
        <v>1726.1441666666667</v>
      </c>
      <c r="D67" s="248">
        <f t="shared" si="67"/>
        <v>0</v>
      </c>
      <c r="E67" s="249">
        <f t="shared" si="68"/>
        <v>1726.1441666666667</v>
      </c>
      <c r="F67" s="248">
        <f t="shared" si="73"/>
        <v>532.01</v>
      </c>
      <c r="G67" s="249">
        <f t="shared" si="69"/>
        <v>2258.1541666666667</v>
      </c>
      <c r="H67" s="249">
        <f t="shared" si="70"/>
        <v>310.70595</v>
      </c>
      <c r="I67" s="249">
        <f t="shared" si="71"/>
        <v>2568.8601166666667</v>
      </c>
      <c r="J67" s="248">
        <f t="shared" si="74"/>
        <v>257.5</v>
      </c>
      <c r="K67" s="249">
        <f t="shared" si="72"/>
        <v>257.5</v>
      </c>
      <c r="L67" s="306">
        <f t="shared" si="75"/>
        <v>24</v>
      </c>
      <c r="M67" s="250">
        <f t="shared" si="76"/>
        <v>24</v>
      </c>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row>
    <row r="68" spans="1:59" ht="12">
      <c r="A68" s="246" t="s">
        <v>243</v>
      </c>
      <c r="B68" s="247"/>
      <c r="C68" s="248">
        <f t="shared" si="66"/>
        <v>1726.1441666666667</v>
      </c>
      <c r="D68" s="248">
        <f t="shared" si="67"/>
        <v>0</v>
      </c>
      <c r="E68" s="249">
        <f t="shared" si="68"/>
        <v>1726.1441666666667</v>
      </c>
      <c r="F68" s="248">
        <f t="shared" si="73"/>
        <v>532.01</v>
      </c>
      <c r="G68" s="249">
        <f t="shared" si="69"/>
        <v>2258.1541666666667</v>
      </c>
      <c r="H68" s="249">
        <f t="shared" si="70"/>
        <v>310.70595</v>
      </c>
      <c r="I68" s="249">
        <f t="shared" si="71"/>
        <v>2568.8601166666667</v>
      </c>
      <c r="J68" s="248">
        <f t="shared" si="74"/>
        <v>257.5</v>
      </c>
      <c r="K68" s="249">
        <f t="shared" si="72"/>
        <v>257.5</v>
      </c>
      <c r="L68" s="306">
        <f t="shared" si="75"/>
        <v>24</v>
      </c>
      <c r="M68" s="250">
        <f t="shared" si="76"/>
        <v>24</v>
      </c>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row>
    <row r="69" spans="1:59" ht="12">
      <c r="A69" s="246" t="s">
        <v>244</v>
      </c>
      <c r="B69" s="247"/>
      <c r="C69" s="248">
        <f t="shared" si="66"/>
        <v>1726.1441666666667</v>
      </c>
      <c r="D69" s="248">
        <f t="shared" si="67"/>
        <v>0</v>
      </c>
      <c r="E69" s="249">
        <f t="shared" si="68"/>
        <v>1726.1441666666667</v>
      </c>
      <c r="F69" s="248">
        <f t="shared" si="73"/>
        <v>532.01</v>
      </c>
      <c r="G69" s="249">
        <f t="shared" si="69"/>
        <v>2258.1541666666667</v>
      </c>
      <c r="H69" s="249">
        <f t="shared" si="70"/>
        <v>310.70595</v>
      </c>
      <c r="I69" s="249">
        <f t="shared" si="71"/>
        <v>2568.8601166666667</v>
      </c>
      <c r="J69" s="248">
        <f t="shared" si="74"/>
        <v>257.5</v>
      </c>
      <c r="K69" s="249">
        <f t="shared" si="72"/>
        <v>257.5</v>
      </c>
      <c r="L69" s="306">
        <f t="shared" si="75"/>
        <v>24</v>
      </c>
      <c r="M69" s="250">
        <f t="shared" si="76"/>
        <v>24</v>
      </c>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row>
    <row r="70" spans="1:59" ht="12">
      <c r="A70" s="246" t="s">
        <v>245</v>
      </c>
      <c r="B70" s="247"/>
      <c r="C70" s="248">
        <f t="shared" si="66"/>
        <v>1726.1441666666667</v>
      </c>
      <c r="D70" s="248">
        <f t="shared" si="67"/>
        <v>0</v>
      </c>
      <c r="E70" s="249">
        <f t="shared" si="68"/>
        <v>1726.1441666666667</v>
      </c>
      <c r="F70" s="248">
        <f t="shared" si="73"/>
        <v>532.01</v>
      </c>
      <c r="G70" s="249">
        <f t="shared" si="69"/>
        <v>2258.1541666666667</v>
      </c>
      <c r="H70" s="249">
        <f t="shared" si="70"/>
        <v>310.70595</v>
      </c>
      <c r="I70" s="249">
        <f t="shared" si="71"/>
        <v>2568.8601166666667</v>
      </c>
      <c r="J70" s="248">
        <f t="shared" si="74"/>
        <v>257.5</v>
      </c>
      <c r="K70" s="249">
        <f t="shared" si="72"/>
        <v>257.5</v>
      </c>
      <c r="L70" s="306">
        <f t="shared" si="75"/>
        <v>24</v>
      </c>
      <c r="M70" s="250">
        <f t="shared" si="76"/>
        <v>24</v>
      </c>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row>
    <row r="71" spans="1:59" ht="12">
      <c r="A71" s="246" t="s">
        <v>246</v>
      </c>
      <c r="B71" s="247"/>
      <c r="C71" s="248">
        <f t="shared" si="66"/>
        <v>1726.1441666666667</v>
      </c>
      <c r="D71" s="248">
        <f t="shared" si="67"/>
        <v>0</v>
      </c>
      <c r="E71" s="249">
        <f t="shared" si="68"/>
        <v>1726.1441666666667</v>
      </c>
      <c r="F71" s="248">
        <f t="shared" si="73"/>
        <v>532.01</v>
      </c>
      <c r="G71" s="249">
        <f t="shared" si="69"/>
        <v>2258.1541666666667</v>
      </c>
      <c r="H71" s="249">
        <f t="shared" si="70"/>
        <v>310.70595</v>
      </c>
      <c r="I71" s="249">
        <f t="shared" si="71"/>
        <v>2568.8601166666667</v>
      </c>
      <c r="J71" s="248">
        <f t="shared" si="74"/>
        <v>257.5</v>
      </c>
      <c r="K71" s="249">
        <f t="shared" si="72"/>
        <v>257.5</v>
      </c>
      <c r="L71" s="306">
        <f t="shared" si="75"/>
        <v>24</v>
      </c>
      <c r="M71" s="250">
        <f t="shared" si="76"/>
        <v>24</v>
      </c>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row>
    <row r="72" spans="1:59" ht="12">
      <c r="A72" s="246" t="s">
        <v>247</v>
      </c>
      <c r="B72" s="247"/>
      <c r="C72" s="248">
        <f t="shared" si="66"/>
        <v>1726.1441666666667</v>
      </c>
      <c r="D72" s="248">
        <f t="shared" si="67"/>
        <v>0</v>
      </c>
      <c r="E72" s="249">
        <f t="shared" si="68"/>
        <v>1726.1441666666667</v>
      </c>
      <c r="F72" s="248">
        <f t="shared" si="73"/>
        <v>532.01</v>
      </c>
      <c r="G72" s="249">
        <f t="shared" si="69"/>
        <v>2258.1541666666667</v>
      </c>
      <c r="H72" s="249">
        <f t="shared" si="70"/>
        <v>310.70595</v>
      </c>
      <c r="I72" s="249">
        <f t="shared" si="71"/>
        <v>2568.8601166666667</v>
      </c>
      <c r="J72" s="248">
        <f t="shared" si="74"/>
        <v>257.5</v>
      </c>
      <c r="K72" s="249">
        <f t="shared" si="72"/>
        <v>257.5</v>
      </c>
      <c r="L72" s="306">
        <f t="shared" si="75"/>
        <v>24</v>
      </c>
      <c r="M72" s="250">
        <f t="shared" si="76"/>
        <v>24</v>
      </c>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row>
    <row r="73" spans="1:59" ht="12">
      <c r="A73" s="246" t="s">
        <v>248</v>
      </c>
      <c r="B73" s="247"/>
      <c r="C73" s="248">
        <f t="shared" si="66"/>
        <v>1726.1441666666667</v>
      </c>
      <c r="D73" s="248">
        <f t="shared" si="67"/>
        <v>0</v>
      </c>
      <c r="E73" s="249">
        <f t="shared" si="68"/>
        <v>1726.1441666666667</v>
      </c>
      <c r="F73" s="248">
        <f t="shared" si="73"/>
        <v>532.01</v>
      </c>
      <c r="G73" s="249">
        <f t="shared" si="69"/>
        <v>2258.1541666666667</v>
      </c>
      <c r="H73" s="249">
        <f t="shared" si="70"/>
        <v>310.70595</v>
      </c>
      <c r="I73" s="249">
        <f t="shared" si="71"/>
        <v>2568.8601166666667</v>
      </c>
      <c r="J73" s="248">
        <f t="shared" si="74"/>
        <v>257.5</v>
      </c>
      <c r="K73" s="249">
        <f t="shared" si="72"/>
        <v>257.5</v>
      </c>
      <c r="L73" s="306">
        <f t="shared" si="75"/>
        <v>24</v>
      </c>
      <c r="M73" s="250">
        <f t="shared" si="76"/>
        <v>24</v>
      </c>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row>
    <row r="74" spans="1:59" ht="12">
      <c r="A74" s="246" t="s">
        <v>249</v>
      </c>
      <c r="B74" s="247"/>
      <c r="C74" s="248">
        <f t="shared" si="66"/>
        <v>1726.1441666666667</v>
      </c>
      <c r="D74" s="248">
        <f t="shared" si="67"/>
        <v>0</v>
      </c>
      <c r="E74" s="249">
        <f t="shared" si="68"/>
        <v>1726.1441666666667</v>
      </c>
      <c r="F74" s="248">
        <f t="shared" si="73"/>
        <v>532.01</v>
      </c>
      <c r="G74" s="249">
        <f t="shared" si="69"/>
        <v>2258.1541666666667</v>
      </c>
      <c r="H74" s="249">
        <f>E74*0.18</f>
        <v>310.70595</v>
      </c>
      <c r="I74" s="249">
        <f t="shared" si="71"/>
        <v>2568.8601166666667</v>
      </c>
      <c r="J74" s="248">
        <f t="shared" si="74"/>
        <v>257.5</v>
      </c>
      <c r="K74" s="249">
        <f t="shared" si="72"/>
        <v>257.5</v>
      </c>
      <c r="L74" s="306">
        <f t="shared" si="75"/>
        <v>24</v>
      </c>
      <c r="M74" s="250">
        <f t="shared" si="76"/>
        <v>24</v>
      </c>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row>
    <row r="75" spans="1:59" ht="12.75">
      <c r="A75" s="243">
        <f>A62+1</f>
        <v>2017</v>
      </c>
      <c r="B75" s="252"/>
      <c r="C75" s="252"/>
      <c r="D75" s="252"/>
      <c r="E75" s="244">
        <f>SUM(E76:E87)</f>
        <v>13809.153333333334</v>
      </c>
      <c r="F75" s="252"/>
      <c r="G75" s="244">
        <f aca="true" t="shared" si="77" ref="G75:M75">SUM(G76:G87)</f>
        <v>18065.233333333334</v>
      </c>
      <c r="H75" s="244">
        <f t="shared" si="77"/>
        <v>2485.6476</v>
      </c>
      <c r="I75" s="244">
        <f t="shared" si="77"/>
        <v>20550.880933333334</v>
      </c>
      <c r="J75" s="244">
        <f t="shared" si="77"/>
        <v>2060</v>
      </c>
      <c r="K75" s="244">
        <f t="shared" si="77"/>
        <v>2060</v>
      </c>
      <c r="L75" s="245">
        <f t="shared" si="77"/>
        <v>288</v>
      </c>
      <c r="M75" s="245">
        <f t="shared" si="77"/>
        <v>288</v>
      </c>
      <c r="N75" s="725">
        <f>ROUND((M75/L75),5)</f>
        <v>1</v>
      </c>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row>
    <row r="76" spans="1:59" ht="12">
      <c r="A76" s="246" t="s">
        <v>238</v>
      </c>
      <c r="B76" s="316">
        <f>CalcoloA!N34</f>
        <v>28</v>
      </c>
      <c r="C76" s="248">
        <f>AC9</f>
        <v>1726.1441666666667</v>
      </c>
      <c r="D76" s="248">
        <f>D74</f>
        <v>0</v>
      </c>
      <c r="E76" s="249">
        <f>C76+D76</f>
        <v>1726.1441666666667</v>
      </c>
      <c r="F76" s="248">
        <f>F74</f>
        <v>532.01</v>
      </c>
      <c r="G76" s="249">
        <f>SUM(E76:F76)</f>
        <v>2258.1541666666667</v>
      </c>
      <c r="H76" s="249">
        <f>E76*0.18</f>
        <v>310.70595</v>
      </c>
      <c r="I76" s="249">
        <f>(G76+H76)/L76*M76</f>
        <v>2568.8601166666667</v>
      </c>
      <c r="J76" s="248">
        <f>J74</f>
        <v>257.5</v>
      </c>
      <c r="K76" s="249">
        <f>J76/L76*M76</f>
        <v>257.5</v>
      </c>
      <c r="L76" s="306">
        <f>L74</f>
        <v>24</v>
      </c>
      <c r="M76" s="250">
        <f>M74</f>
        <v>24</v>
      </c>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row>
    <row r="77" spans="1:59" ht="12">
      <c r="A77" s="246" t="s">
        <v>239</v>
      </c>
      <c r="B77" s="247"/>
      <c r="C77" s="248">
        <f aca="true" t="shared" si="78" ref="C77:C87">C76</f>
        <v>1726.1441666666667</v>
      </c>
      <c r="D77" s="248">
        <f aca="true" t="shared" si="79" ref="D77:D87">D76</f>
        <v>0</v>
      </c>
      <c r="E77" s="249">
        <f aca="true" t="shared" si="80" ref="E77:E87">C77+D77</f>
        <v>1726.1441666666667</v>
      </c>
      <c r="F77" s="248">
        <f>F76</f>
        <v>532.01</v>
      </c>
      <c r="G77" s="249">
        <f aca="true" t="shared" si="81" ref="G77:G87">SUM(E77:F77)</f>
        <v>2258.1541666666667</v>
      </c>
      <c r="H77" s="249">
        <f aca="true" t="shared" si="82" ref="H77:H86">E77*0.18</f>
        <v>310.70595</v>
      </c>
      <c r="I77" s="249">
        <f aca="true" t="shared" si="83" ref="I77:I87">(G77+H77)/L77*M77</f>
        <v>2568.8601166666667</v>
      </c>
      <c r="J77" s="248">
        <f>J76</f>
        <v>257.5</v>
      </c>
      <c r="K77" s="249">
        <f aca="true" t="shared" si="84" ref="K77:K87">J77/L77*M77</f>
        <v>257.5</v>
      </c>
      <c r="L77" s="306">
        <f>L76</f>
        <v>24</v>
      </c>
      <c r="M77" s="250">
        <f>M76</f>
        <v>24</v>
      </c>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row>
    <row r="78" spans="1:59" ht="12">
      <c r="A78" s="246" t="s">
        <v>240</v>
      </c>
      <c r="B78" s="247"/>
      <c r="C78" s="248">
        <f t="shared" si="78"/>
        <v>1726.1441666666667</v>
      </c>
      <c r="D78" s="248">
        <f t="shared" si="79"/>
        <v>0</v>
      </c>
      <c r="E78" s="249">
        <f t="shared" si="80"/>
        <v>1726.1441666666667</v>
      </c>
      <c r="F78" s="248">
        <f aca="true" t="shared" si="85" ref="F78:F87">F77</f>
        <v>532.01</v>
      </c>
      <c r="G78" s="249">
        <f t="shared" si="81"/>
        <v>2258.1541666666667</v>
      </c>
      <c r="H78" s="249">
        <f t="shared" si="82"/>
        <v>310.70595</v>
      </c>
      <c r="I78" s="249">
        <f t="shared" si="83"/>
        <v>2568.8601166666667</v>
      </c>
      <c r="J78" s="248">
        <f aca="true" t="shared" si="86" ref="J78:J87">J77</f>
        <v>257.5</v>
      </c>
      <c r="K78" s="249">
        <f t="shared" si="84"/>
        <v>257.5</v>
      </c>
      <c r="L78" s="306">
        <f aca="true" t="shared" si="87" ref="L78:L87">L77</f>
        <v>24</v>
      </c>
      <c r="M78" s="250">
        <f aca="true" t="shared" si="88" ref="M78:M87">M77</f>
        <v>24</v>
      </c>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row>
    <row r="79" spans="1:59" ht="12">
      <c r="A79" s="246" t="s">
        <v>241</v>
      </c>
      <c r="B79" s="247"/>
      <c r="C79" s="248">
        <f t="shared" si="78"/>
        <v>1726.1441666666667</v>
      </c>
      <c r="D79" s="248">
        <f t="shared" si="79"/>
        <v>0</v>
      </c>
      <c r="E79" s="249">
        <f t="shared" si="80"/>
        <v>1726.1441666666667</v>
      </c>
      <c r="F79" s="248">
        <f t="shared" si="85"/>
        <v>532.01</v>
      </c>
      <c r="G79" s="249">
        <f t="shared" si="81"/>
        <v>2258.1541666666667</v>
      </c>
      <c r="H79" s="249">
        <f t="shared" si="82"/>
        <v>310.70595</v>
      </c>
      <c r="I79" s="249">
        <f t="shared" si="83"/>
        <v>2568.8601166666667</v>
      </c>
      <c r="J79" s="248">
        <f t="shared" si="86"/>
        <v>257.5</v>
      </c>
      <c r="K79" s="249">
        <f t="shared" si="84"/>
        <v>257.5</v>
      </c>
      <c r="L79" s="306">
        <f t="shared" si="87"/>
        <v>24</v>
      </c>
      <c r="M79" s="250">
        <f t="shared" si="88"/>
        <v>24</v>
      </c>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row>
    <row r="80" spans="1:59" ht="12">
      <c r="A80" s="246" t="s">
        <v>242</v>
      </c>
      <c r="B80" s="247"/>
      <c r="C80" s="248">
        <f t="shared" si="78"/>
        <v>1726.1441666666667</v>
      </c>
      <c r="D80" s="248">
        <f t="shared" si="79"/>
        <v>0</v>
      </c>
      <c r="E80" s="249">
        <f t="shared" si="80"/>
        <v>1726.1441666666667</v>
      </c>
      <c r="F80" s="248">
        <f t="shared" si="85"/>
        <v>532.01</v>
      </c>
      <c r="G80" s="249">
        <f t="shared" si="81"/>
        <v>2258.1541666666667</v>
      </c>
      <c r="H80" s="249">
        <f t="shared" si="82"/>
        <v>310.70595</v>
      </c>
      <c r="I80" s="249">
        <f t="shared" si="83"/>
        <v>2568.8601166666667</v>
      </c>
      <c r="J80" s="248">
        <f t="shared" si="86"/>
        <v>257.5</v>
      </c>
      <c r="K80" s="249">
        <f t="shared" si="84"/>
        <v>257.5</v>
      </c>
      <c r="L80" s="306">
        <f t="shared" si="87"/>
        <v>24</v>
      </c>
      <c r="M80" s="250">
        <f t="shared" si="88"/>
        <v>24</v>
      </c>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row>
    <row r="81" spans="1:59" ht="12">
      <c r="A81" s="246" t="s">
        <v>243</v>
      </c>
      <c r="B81" s="247"/>
      <c r="C81" s="248">
        <f t="shared" si="78"/>
        <v>1726.1441666666667</v>
      </c>
      <c r="D81" s="248">
        <f t="shared" si="79"/>
        <v>0</v>
      </c>
      <c r="E81" s="249">
        <f t="shared" si="80"/>
        <v>1726.1441666666667</v>
      </c>
      <c r="F81" s="248">
        <f t="shared" si="85"/>
        <v>532.01</v>
      </c>
      <c r="G81" s="249">
        <f t="shared" si="81"/>
        <v>2258.1541666666667</v>
      </c>
      <c r="H81" s="249">
        <f t="shared" si="82"/>
        <v>310.70595</v>
      </c>
      <c r="I81" s="249">
        <f t="shared" si="83"/>
        <v>2568.8601166666667</v>
      </c>
      <c r="J81" s="248">
        <f t="shared" si="86"/>
        <v>257.5</v>
      </c>
      <c r="K81" s="249">
        <f t="shared" si="84"/>
        <v>257.5</v>
      </c>
      <c r="L81" s="306">
        <f t="shared" si="87"/>
        <v>24</v>
      </c>
      <c r="M81" s="250">
        <f t="shared" si="88"/>
        <v>24</v>
      </c>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row>
    <row r="82" spans="1:59" ht="12">
      <c r="A82" s="246" t="s">
        <v>244</v>
      </c>
      <c r="B82" s="247"/>
      <c r="C82" s="248">
        <f t="shared" si="78"/>
        <v>1726.1441666666667</v>
      </c>
      <c r="D82" s="248">
        <f t="shared" si="79"/>
        <v>0</v>
      </c>
      <c r="E82" s="249">
        <f t="shared" si="80"/>
        <v>1726.1441666666667</v>
      </c>
      <c r="F82" s="248">
        <f t="shared" si="85"/>
        <v>532.01</v>
      </c>
      <c r="G82" s="249">
        <f t="shared" si="81"/>
        <v>2258.1541666666667</v>
      </c>
      <c r="H82" s="249">
        <f t="shared" si="82"/>
        <v>310.70595</v>
      </c>
      <c r="I82" s="249">
        <f t="shared" si="83"/>
        <v>2568.8601166666667</v>
      </c>
      <c r="J82" s="248">
        <f t="shared" si="86"/>
        <v>257.5</v>
      </c>
      <c r="K82" s="249">
        <f t="shared" si="84"/>
        <v>257.5</v>
      </c>
      <c r="L82" s="306">
        <f t="shared" si="87"/>
        <v>24</v>
      </c>
      <c r="M82" s="250">
        <f t="shared" si="88"/>
        <v>24</v>
      </c>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row>
    <row r="83" spans="1:59" ht="12">
      <c r="A83" s="246" t="s">
        <v>245</v>
      </c>
      <c r="B83" s="247"/>
      <c r="C83" s="248">
        <f t="shared" si="78"/>
        <v>1726.1441666666667</v>
      </c>
      <c r="D83" s="248">
        <f t="shared" si="79"/>
        <v>0</v>
      </c>
      <c r="E83" s="249">
        <f t="shared" si="80"/>
        <v>1726.1441666666667</v>
      </c>
      <c r="F83" s="248">
        <f t="shared" si="85"/>
        <v>532.01</v>
      </c>
      <c r="G83" s="249">
        <f t="shared" si="81"/>
        <v>2258.1541666666667</v>
      </c>
      <c r="H83" s="249">
        <f t="shared" si="82"/>
        <v>310.70595</v>
      </c>
      <c r="I83" s="249">
        <f t="shared" si="83"/>
        <v>2568.8601166666667</v>
      </c>
      <c r="J83" s="248">
        <f t="shared" si="86"/>
        <v>257.5</v>
      </c>
      <c r="K83" s="249">
        <f t="shared" si="84"/>
        <v>257.5</v>
      </c>
      <c r="L83" s="306">
        <f t="shared" si="87"/>
        <v>24</v>
      </c>
      <c r="M83" s="250">
        <f t="shared" si="88"/>
        <v>24</v>
      </c>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row>
    <row r="84" spans="1:59" ht="12">
      <c r="A84" s="246" t="s">
        <v>246</v>
      </c>
      <c r="B84" s="247"/>
      <c r="C84" s="248">
        <v>0</v>
      </c>
      <c r="D84" s="248">
        <v>0</v>
      </c>
      <c r="E84" s="249">
        <f t="shared" si="80"/>
        <v>0</v>
      </c>
      <c r="F84" s="248">
        <v>0</v>
      </c>
      <c r="G84" s="249">
        <f t="shared" si="81"/>
        <v>0</v>
      </c>
      <c r="H84" s="249">
        <f t="shared" si="82"/>
        <v>0</v>
      </c>
      <c r="I84" s="249">
        <f t="shared" si="83"/>
        <v>0</v>
      </c>
      <c r="J84" s="248">
        <v>0</v>
      </c>
      <c r="K84" s="249">
        <f t="shared" si="84"/>
        <v>0</v>
      </c>
      <c r="L84" s="306">
        <f t="shared" si="87"/>
        <v>24</v>
      </c>
      <c r="M84" s="250">
        <f t="shared" si="88"/>
        <v>24</v>
      </c>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row>
    <row r="85" spans="1:59" ht="12">
      <c r="A85" s="246" t="s">
        <v>247</v>
      </c>
      <c r="B85" s="247"/>
      <c r="C85" s="248">
        <f t="shared" si="78"/>
        <v>0</v>
      </c>
      <c r="D85" s="248">
        <f t="shared" si="79"/>
        <v>0</v>
      </c>
      <c r="E85" s="249">
        <f t="shared" si="80"/>
        <v>0</v>
      </c>
      <c r="F85" s="248">
        <f t="shared" si="85"/>
        <v>0</v>
      </c>
      <c r="G85" s="249">
        <f t="shared" si="81"/>
        <v>0</v>
      </c>
      <c r="H85" s="249">
        <f t="shared" si="82"/>
        <v>0</v>
      </c>
      <c r="I85" s="249">
        <f t="shared" si="83"/>
        <v>0</v>
      </c>
      <c r="J85" s="248">
        <f t="shared" si="86"/>
        <v>0</v>
      </c>
      <c r="K85" s="249">
        <f t="shared" si="84"/>
        <v>0</v>
      </c>
      <c r="L85" s="306">
        <f t="shared" si="87"/>
        <v>24</v>
      </c>
      <c r="M85" s="250">
        <f t="shared" si="88"/>
        <v>24</v>
      </c>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row>
    <row r="86" spans="1:59" ht="12">
      <c r="A86" s="246" t="s">
        <v>248</v>
      </c>
      <c r="B86" s="247"/>
      <c r="C86" s="248">
        <f t="shared" si="78"/>
        <v>0</v>
      </c>
      <c r="D86" s="248">
        <f t="shared" si="79"/>
        <v>0</v>
      </c>
      <c r="E86" s="249">
        <f t="shared" si="80"/>
        <v>0</v>
      </c>
      <c r="F86" s="248">
        <f t="shared" si="85"/>
        <v>0</v>
      </c>
      <c r="G86" s="249">
        <f t="shared" si="81"/>
        <v>0</v>
      </c>
      <c r="H86" s="249">
        <f t="shared" si="82"/>
        <v>0</v>
      </c>
      <c r="I86" s="249">
        <f t="shared" si="83"/>
        <v>0</v>
      </c>
      <c r="J86" s="248">
        <f t="shared" si="86"/>
        <v>0</v>
      </c>
      <c r="K86" s="249">
        <f t="shared" si="84"/>
        <v>0</v>
      </c>
      <c r="L86" s="306">
        <f t="shared" si="87"/>
        <v>24</v>
      </c>
      <c r="M86" s="250">
        <f t="shared" si="88"/>
        <v>24</v>
      </c>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row>
    <row r="87" spans="1:59" ht="12">
      <c r="A87" s="246" t="s">
        <v>249</v>
      </c>
      <c r="B87" s="247"/>
      <c r="C87" s="248">
        <f t="shared" si="78"/>
        <v>0</v>
      </c>
      <c r="D87" s="248">
        <f t="shared" si="79"/>
        <v>0</v>
      </c>
      <c r="E87" s="249">
        <f t="shared" si="80"/>
        <v>0</v>
      </c>
      <c r="F87" s="248">
        <f t="shared" si="85"/>
        <v>0</v>
      </c>
      <c r="G87" s="249">
        <f t="shared" si="81"/>
        <v>0</v>
      </c>
      <c r="H87" s="249">
        <f>E87*0.18</f>
        <v>0</v>
      </c>
      <c r="I87" s="249">
        <f t="shared" si="83"/>
        <v>0</v>
      </c>
      <c r="J87" s="248">
        <f t="shared" si="86"/>
        <v>0</v>
      </c>
      <c r="K87" s="249">
        <f t="shared" si="84"/>
        <v>0</v>
      </c>
      <c r="L87" s="306">
        <f t="shared" si="87"/>
        <v>24</v>
      </c>
      <c r="M87" s="250">
        <f t="shared" si="88"/>
        <v>24</v>
      </c>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row>
    <row r="88" spans="1:59" ht="12.75">
      <c r="A88" s="243">
        <f>A75+1</f>
        <v>2018</v>
      </c>
      <c r="B88" s="252"/>
      <c r="C88" s="252"/>
      <c r="D88" s="252"/>
      <c r="E88" s="244">
        <f>SUM(E89:E100)</f>
        <v>0</v>
      </c>
      <c r="F88" s="252"/>
      <c r="G88" s="244">
        <f aca="true" t="shared" si="89" ref="G88:M88">SUM(G89:G100)</f>
        <v>0</v>
      </c>
      <c r="H88" s="244">
        <f t="shared" si="89"/>
        <v>0</v>
      </c>
      <c r="I88" s="244">
        <f t="shared" si="89"/>
        <v>0</v>
      </c>
      <c r="J88" s="244">
        <f t="shared" si="89"/>
        <v>0</v>
      </c>
      <c r="K88" s="244">
        <f t="shared" si="89"/>
        <v>0</v>
      </c>
      <c r="L88" s="245">
        <f t="shared" si="89"/>
        <v>288</v>
      </c>
      <c r="M88" s="245">
        <f t="shared" si="89"/>
        <v>288</v>
      </c>
      <c r="N88" s="725">
        <f>ROUND((M88/L88),5)</f>
        <v>1</v>
      </c>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row>
    <row r="89" spans="1:59" ht="12">
      <c r="A89" s="246" t="s">
        <v>238</v>
      </c>
      <c r="B89" s="247"/>
      <c r="C89" s="248">
        <f>AC10</f>
        <v>0</v>
      </c>
      <c r="D89" s="248">
        <f>D87</f>
        <v>0</v>
      </c>
      <c r="E89" s="249">
        <f>C89+D89</f>
        <v>0</v>
      </c>
      <c r="F89" s="248">
        <f>F87</f>
        <v>0</v>
      </c>
      <c r="G89" s="249">
        <f>SUM(E89:F89)</f>
        <v>0</v>
      </c>
      <c r="H89" s="249">
        <f>E89*0.18</f>
        <v>0</v>
      </c>
      <c r="I89" s="249">
        <f>(G89+H89)/L89*M89</f>
        <v>0</v>
      </c>
      <c r="J89" s="248">
        <f>J87</f>
        <v>0</v>
      </c>
      <c r="K89" s="249">
        <f>J89/L89*M89</f>
        <v>0</v>
      </c>
      <c r="L89" s="306">
        <f>L87</f>
        <v>24</v>
      </c>
      <c r="M89" s="250">
        <f>M87</f>
        <v>24</v>
      </c>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row>
    <row r="90" spans="1:59" ht="12">
      <c r="A90" s="246" t="s">
        <v>239</v>
      </c>
      <c r="B90" s="247"/>
      <c r="C90" s="248">
        <f aca="true" t="shared" si="90" ref="C90:C100">C89</f>
        <v>0</v>
      </c>
      <c r="D90" s="248">
        <f aca="true" t="shared" si="91" ref="D90:D100">D89</f>
        <v>0</v>
      </c>
      <c r="E90" s="249">
        <f aca="true" t="shared" si="92" ref="E90:E100">C90+D90</f>
        <v>0</v>
      </c>
      <c r="F90" s="248">
        <f>F89</f>
        <v>0</v>
      </c>
      <c r="G90" s="249">
        <f aca="true" t="shared" si="93" ref="G90:G100">SUM(E90:F90)</f>
        <v>0</v>
      </c>
      <c r="H90" s="249">
        <f aca="true" t="shared" si="94" ref="H90:H99">E90*0.18</f>
        <v>0</v>
      </c>
      <c r="I90" s="249">
        <f aca="true" t="shared" si="95" ref="I90:I100">(G90+H90)/L90*M90</f>
        <v>0</v>
      </c>
      <c r="J90" s="248">
        <f>J89</f>
        <v>0</v>
      </c>
      <c r="K90" s="249">
        <f aca="true" t="shared" si="96" ref="K90:K100">J90/L90*M90</f>
        <v>0</v>
      </c>
      <c r="L90" s="306">
        <f>L89</f>
        <v>24</v>
      </c>
      <c r="M90" s="250">
        <f>M89</f>
        <v>24</v>
      </c>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row>
    <row r="91" spans="1:59" ht="12">
      <c r="A91" s="246" t="s">
        <v>240</v>
      </c>
      <c r="B91" s="247"/>
      <c r="C91" s="248">
        <f t="shared" si="90"/>
        <v>0</v>
      </c>
      <c r="D91" s="248">
        <f t="shared" si="91"/>
        <v>0</v>
      </c>
      <c r="E91" s="249">
        <f t="shared" si="92"/>
        <v>0</v>
      </c>
      <c r="F91" s="248">
        <f aca="true" t="shared" si="97" ref="F91:F100">F90</f>
        <v>0</v>
      </c>
      <c r="G91" s="249">
        <f t="shared" si="93"/>
        <v>0</v>
      </c>
      <c r="H91" s="249">
        <f t="shared" si="94"/>
        <v>0</v>
      </c>
      <c r="I91" s="249">
        <f t="shared" si="95"/>
        <v>0</v>
      </c>
      <c r="J91" s="248">
        <f aca="true" t="shared" si="98" ref="J91:J100">J90</f>
        <v>0</v>
      </c>
      <c r="K91" s="249">
        <f t="shared" si="96"/>
        <v>0</v>
      </c>
      <c r="L91" s="306">
        <f aca="true" t="shared" si="99" ref="L91:L100">L90</f>
        <v>24</v>
      </c>
      <c r="M91" s="250">
        <f aca="true" t="shared" si="100" ref="M91:M100">M90</f>
        <v>24</v>
      </c>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row>
    <row r="92" spans="1:59" ht="12">
      <c r="A92" s="246" t="s">
        <v>241</v>
      </c>
      <c r="B92" s="247"/>
      <c r="C92" s="248">
        <f t="shared" si="90"/>
        <v>0</v>
      </c>
      <c r="D92" s="248">
        <f t="shared" si="91"/>
        <v>0</v>
      </c>
      <c r="E92" s="249">
        <f t="shared" si="92"/>
        <v>0</v>
      </c>
      <c r="F92" s="248">
        <f t="shared" si="97"/>
        <v>0</v>
      </c>
      <c r="G92" s="249">
        <f t="shared" si="93"/>
        <v>0</v>
      </c>
      <c r="H92" s="249">
        <f t="shared" si="94"/>
        <v>0</v>
      </c>
      <c r="I92" s="249">
        <f t="shared" si="95"/>
        <v>0</v>
      </c>
      <c r="J92" s="248">
        <f t="shared" si="98"/>
        <v>0</v>
      </c>
      <c r="K92" s="249">
        <f t="shared" si="96"/>
        <v>0</v>
      </c>
      <c r="L92" s="306">
        <f t="shared" si="99"/>
        <v>24</v>
      </c>
      <c r="M92" s="250">
        <f t="shared" si="100"/>
        <v>24</v>
      </c>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row>
    <row r="93" spans="1:59" ht="12">
      <c r="A93" s="246" t="s">
        <v>242</v>
      </c>
      <c r="B93" s="247"/>
      <c r="C93" s="248">
        <f t="shared" si="90"/>
        <v>0</v>
      </c>
      <c r="D93" s="248">
        <f t="shared" si="91"/>
        <v>0</v>
      </c>
      <c r="E93" s="249">
        <f t="shared" si="92"/>
        <v>0</v>
      </c>
      <c r="F93" s="248">
        <f t="shared" si="97"/>
        <v>0</v>
      </c>
      <c r="G93" s="249">
        <f t="shared" si="93"/>
        <v>0</v>
      </c>
      <c r="H93" s="249">
        <f t="shared" si="94"/>
        <v>0</v>
      </c>
      <c r="I93" s="249">
        <f t="shared" si="95"/>
        <v>0</v>
      </c>
      <c r="J93" s="248">
        <f t="shared" si="98"/>
        <v>0</v>
      </c>
      <c r="K93" s="249">
        <f t="shared" si="96"/>
        <v>0</v>
      </c>
      <c r="L93" s="306">
        <f t="shared" si="99"/>
        <v>24</v>
      </c>
      <c r="M93" s="250">
        <f t="shared" si="100"/>
        <v>24</v>
      </c>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row>
    <row r="94" spans="1:59" ht="12">
      <c r="A94" s="246" t="s">
        <v>243</v>
      </c>
      <c r="B94" s="247"/>
      <c r="C94" s="248">
        <f t="shared" si="90"/>
        <v>0</v>
      </c>
      <c r="D94" s="248">
        <f t="shared" si="91"/>
        <v>0</v>
      </c>
      <c r="E94" s="249">
        <f t="shared" si="92"/>
        <v>0</v>
      </c>
      <c r="F94" s="248">
        <f t="shared" si="97"/>
        <v>0</v>
      </c>
      <c r="G94" s="249">
        <f t="shared" si="93"/>
        <v>0</v>
      </c>
      <c r="H94" s="249">
        <f t="shared" si="94"/>
        <v>0</v>
      </c>
      <c r="I94" s="249">
        <f t="shared" si="95"/>
        <v>0</v>
      </c>
      <c r="J94" s="248">
        <f t="shared" si="98"/>
        <v>0</v>
      </c>
      <c r="K94" s="249">
        <f t="shared" si="96"/>
        <v>0</v>
      </c>
      <c r="L94" s="306">
        <f t="shared" si="99"/>
        <v>24</v>
      </c>
      <c r="M94" s="250">
        <f t="shared" si="100"/>
        <v>24</v>
      </c>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row>
    <row r="95" spans="1:59" ht="12">
      <c r="A95" s="246" t="s">
        <v>244</v>
      </c>
      <c r="B95" s="247"/>
      <c r="C95" s="248">
        <f t="shared" si="90"/>
        <v>0</v>
      </c>
      <c r="D95" s="248">
        <f t="shared" si="91"/>
        <v>0</v>
      </c>
      <c r="E95" s="249">
        <f t="shared" si="92"/>
        <v>0</v>
      </c>
      <c r="F95" s="248">
        <f t="shared" si="97"/>
        <v>0</v>
      </c>
      <c r="G95" s="249">
        <f t="shared" si="93"/>
        <v>0</v>
      </c>
      <c r="H95" s="249">
        <f t="shared" si="94"/>
        <v>0</v>
      </c>
      <c r="I95" s="249">
        <f t="shared" si="95"/>
        <v>0</v>
      </c>
      <c r="J95" s="248">
        <f t="shared" si="98"/>
        <v>0</v>
      </c>
      <c r="K95" s="249">
        <f t="shared" si="96"/>
        <v>0</v>
      </c>
      <c r="L95" s="306">
        <f t="shared" si="99"/>
        <v>24</v>
      </c>
      <c r="M95" s="250">
        <f t="shared" si="100"/>
        <v>24</v>
      </c>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row>
    <row r="96" spans="1:59" ht="12">
      <c r="A96" s="246" t="s">
        <v>245</v>
      </c>
      <c r="B96" s="247"/>
      <c r="C96" s="248">
        <f t="shared" si="90"/>
        <v>0</v>
      </c>
      <c r="D96" s="248">
        <f t="shared" si="91"/>
        <v>0</v>
      </c>
      <c r="E96" s="249">
        <f t="shared" si="92"/>
        <v>0</v>
      </c>
      <c r="F96" s="248">
        <f t="shared" si="97"/>
        <v>0</v>
      </c>
      <c r="G96" s="249">
        <f t="shared" si="93"/>
        <v>0</v>
      </c>
      <c r="H96" s="249">
        <f t="shared" si="94"/>
        <v>0</v>
      </c>
      <c r="I96" s="249">
        <f t="shared" si="95"/>
        <v>0</v>
      </c>
      <c r="J96" s="248">
        <f t="shared" si="98"/>
        <v>0</v>
      </c>
      <c r="K96" s="249">
        <f t="shared" si="96"/>
        <v>0</v>
      </c>
      <c r="L96" s="306">
        <f t="shared" si="99"/>
        <v>24</v>
      </c>
      <c r="M96" s="250">
        <f t="shared" si="100"/>
        <v>24</v>
      </c>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row>
    <row r="97" spans="1:59" ht="12">
      <c r="A97" s="246" t="s">
        <v>246</v>
      </c>
      <c r="B97" s="247"/>
      <c r="C97" s="248">
        <f t="shared" si="90"/>
        <v>0</v>
      </c>
      <c r="D97" s="248">
        <f t="shared" si="91"/>
        <v>0</v>
      </c>
      <c r="E97" s="249">
        <f t="shared" si="92"/>
        <v>0</v>
      </c>
      <c r="F97" s="248">
        <f t="shared" si="97"/>
        <v>0</v>
      </c>
      <c r="G97" s="249">
        <f t="shared" si="93"/>
        <v>0</v>
      </c>
      <c r="H97" s="249">
        <f t="shared" si="94"/>
        <v>0</v>
      </c>
      <c r="I97" s="249">
        <f t="shared" si="95"/>
        <v>0</v>
      </c>
      <c r="J97" s="248">
        <f t="shared" si="98"/>
        <v>0</v>
      </c>
      <c r="K97" s="249">
        <f t="shared" si="96"/>
        <v>0</v>
      </c>
      <c r="L97" s="306">
        <f t="shared" si="99"/>
        <v>24</v>
      </c>
      <c r="M97" s="250">
        <f t="shared" si="100"/>
        <v>24</v>
      </c>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row>
    <row r="98" spans="1:59" ht="12">
      <c r="A98" s="246" t="s">
        <v>247</v>
      </c>
      <c r="B98" s="247"/>
      <c r="C98" s="248">
        <f t="shared" si="90"/>
        <v>0</v>
      </c>
      <c r="D98" s="248">
        <f t="shared" si="91"/>
        <v>0</v>
      </c>
      <c r="E98" s="249">
        <f t="shared" si="92"/>
        <v>0</v>
      </c>
      <c r="F98" s="248">
        <f t="shared" si="97"/>
        <v>0</v>
      </c>
      <c r="G98" s="249">
        <f t="shared" si="93"/>
        <v>0</v>
      </c>
      <c r="H98" s="249">
        <f t="shared" si="94"/>
        <v>0</v>
      </c>
      <c r="I98" s="249">
        <f t="shared" si="95"/>
        <v>0</v>
      </c>
      <c r="J98" s="248">
        <f t="shared" si="98"/>
        <v>0</v>
      </c>
      <c r="K98" s="249">
        <f t="shared" si="96"/>
        <v>0</v>
      </c>
      <c r="L98" s="306">
        <f t="shared" si="99"/>
        <v>24</v>
      </c>
      <c r="M98" s="250">
        <f t="shared" si="100"/>
        <v>24</v>
      </c>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row>
    <row r="99" spans="1:59" ht="12">
      <c r="A99" s="246" t="s">
        <v>248</v>
      </c>
      <c r="B99" s="247"/>
      <c r="C99" s="248">
        <f t="shared" si="90"/>
        <v>0</v>
      </c>
      <c r="D99" s="248">
        <f t="shared" si="91"/>
        <v>0</v>
      </c>
      <c r="E99" s="249">
        <f t="shared" si="92"/>
        <v>0</v>
      </c>
      <c r="F99" s="248">
        <f t="shared" si="97"/>
        <v>0</v>
      </c>
      <c r="G99" s="249">
        <f t="shared" si="93"/>
        <v>0</v>
      </c>
      <c r="H99" s="249">
        <f t="shared" si="94"/>
        <v>0</v>
      </c>
      <c r="I99" s="249">
        <f t="shared" si="95"/>
        <v>0</v>
      </c>
      <c r="J99" s="248">
        <f t="shared" si="98"/>
        <v>0</v>
      </c>
      <c r="K99" s="249">
        <f t="shared" si="96"/>
        <v>0</v>
      </c>
      <c r="L99" s="306">
        <f t="shared" si="99"/>
        <v>24</v>
      </c>
      <c r="M99" s="250">
        <f t="shared" si="100"/>
        <v>24</v>
      </c>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row>
    <row r="100" spans="1:59" ht="12">
      <c r="A100" s="246" t="s">
        <v>249</v>
      </c>
      <c r="B100" s="247"/>
      <c r="C100" s="248">
        <f t="shared" si="90"/>
        <v>0</v>
      </c>
      <c r="D100" s="248">
        <f t="shared" si="91"/>
        <v>0</v>
      </c>
      <c r="E100" s="249">
        <f t="shared" si="92"/>
        <v>0</v>
      </c>
      <c r="F100" s="248">
        <f t="shared" si="97"/>
        <v>0</v>
      </c>
      <c r="G100" s="249">
        <f t="shared" si="93"/>
        <v>0</v>
      </c>
      <c r="H100" s="249">
        <f>E100*0.18</f>
        <v>0</v>
      </c>
      <c r="I100" s="249">
        <f t="shared" si="95"/>
        <v>0</v>
      </c>
      <c r="J100" s="248">
        <f t="shared" si="98"/>
        <v>0</v>
      </c>
      <c r="K100" s="249">
        <f t="shared" si="96"/>
        <v>0</v>
      </c>
      <c r="L100" s="306">
        <f t="shared" si="99"/>
        <v>24</v>
      </c>
      <c r="M100" s="250">
        <f t="shared" si="100"/>
        <v>24</v>
      </c>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row>
    <row r="101" spans="1:59" ht="12.75">
      <c r="A101" s="243">
        <f>A88+1</f>
        <v>2019</v>
      </c>
      <c r="B101" s="252"/>
      <c r="C101" s="252"/>
      <c r="D101" s="252"/>
      <c r="E101" s="244">
        <f>SUM(E102:E113)</f>
        <v>0</v>
      </c>
      <c r="F101" s="252"/>
      <c r="G101" s="244">
        <f aca="true" t="shared" si="101" ref="G101:M101">SUM(G102:G113)</f>
        <v>0</v>
      </c>
      <c r="H101" s="244">
        <f t="shared" si="101"/>
        <v>0</v>
      </c>
      <c r="I101" s="244">
        <f t="shared" si="101"/>
        <v>0</v>
      </c>
      <c r="J101" s="244">
        <f t="shared" si="101"/>
        <v>0</v>
      </c>
      <c r="K101" s="244">
        <f t="shared" si="101"/>
        <v>0</v>
      </c>
      <c r="L101" s="245">
        <f t="shared" si="101"/>
        <v>288</v>
      </c>
      <c r="M101" s="245">
        <f t="shared" si="101"/>
        <v>288</v>
      </c>
      <c r="N101" s="725">
        <f>ROUND((M101/L101),5)</f>
        <v>1</v>
      </c>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row>
    <row r="102" spans="1:59" ht="12">
      <c r="A102" s="246" t="s">
        <v>238</v>
      </c>
      <c r="B102" s="247"/>
      <c r="C102" s="248">
        <f>C100</f>
        <v>0</v>
      </c>
      <c r="D102" s="248">
        <f>D100</f>
        <v>0</v>
      </c>
      <c r="E102" s="249">
        <f>C102+D102</f>
        <v>0</v>
      </c>
      <c r="F102" s="248">
        <f>F100</f>
        <v>0</v>
      </c>
      <c r="G102" s="249">
        <f>SUM(E102:F102)</f>
        <v>0</v>
      </c>
      <c r="H102" s="249">
        <f>E102*0.18</f>
        <v>0</v>
      </c>
      <c r="I102" s="249">
        <f>(G102+H102)/L102*M102</f>
        <v>0</v>
      </c>
      <c r="J102" s="248">
        <f>J100</f>
        <v>0</v>
      </c>
      <c r="K102" s="249">
        <f>J102/L102*M102</f>
        <v>0</v>
      </c>
      <c r="L102" s="306">
        <f>L100</f>
        <v>24</v>
      </c>
      <c r="M102" s="250">
        <f>M100</f>
        <v>24</v>
      </c>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row>
    <row r="103" spans="1:59" ht="12">
      <c r="A103" s="246" t="s">
        <v>239</v>
      </c>
      <c r="B103" s="247"/>
      <c r="C103" s="248">
        <f aca="true" t="shared" si="102" ref="C103:C113">C102</f>
        <v>0</v>
      </c>
      <c r="D103" s="248">
        <f aca="true" t="shared" si="103" ref="D103:D113">D102</f>
        <v>0</v>
      </c>
      <c r="E103" s="249">
        <f aca="true" t="shared" si="104" ref="E103:E113">C103+D103</f>
        <v>0</v>
      </c>
      <c r="F103" s="248">
        <f>F102</f>
        <v>0</v>
      </c>
      <c r="G103" s="249">
        <f aca="true" t="shared" si="105" ref="G103:G113">SUM(E103:F103)</f>
        <v>0</v>
      </c>
      <c r="H103" s="249">
        <f aca="true" t="shared" si="106" ref="H103:H112">E103*0.18</f>
        <v>0</v>
      </c>
      <c r="I103" s="249">
        <f aca="true" t="shared" si="107" ref="I103:I113">(G103+H103)/L103*M103</f>
        <v>0</v>
      </c>
      <c r="J103" s="248">
        <f>J102</f>
        <v>0</v>
      </c>
      <c r="K103" s="249">
        <f aca="true" t="shared" si="108" ref="K103:K113">J103/L103*M103</f>
        <v>0</v>
      </c>
      <c r="L103" s="306">
        <f>L102</f>
        <v>24</v>
      </c>
      <c r="M103" s="250">
        <f>M102</f>
        <v>24</v>
      </c>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row>
    <row r="104" spans="1:59" ht="12">
      <c r="A104" s="246" t="s">
        <v>240</v>
      </c>
      <c r="B104" s="247"/>
      <c r="C104" s="248">
        <f t="shared" si="102"/>
        <v>0</v>
      </c>
      <c r="D104" s="248">
        <f t="shared" si="103"/>
        <v>0</v>
      </c>
      <c r="E104" s="249">
        <f t="shared" si="104"/>
        <v>0</v>
      </c>
      <c r="F104" s="248">
        <f aca="true" t="shared" si="109" ref="F104:F113">F103</f>
        <v>0</v>
      </c>
      <c r="G104" s="249">
        <f t="shared" si="105"/>
        <v>0</v>
      </c>
      <c r="H104" s="249">
        <f t="shared" si="106"/>
        <v>0</v>
      </c>
      <c r="I104" s="249">
        <f t="shared" si="107"/>
        <v>0</v>
      </c>
      <c r="J104" s="248">
        <f aca="true" t="shared" si="110" ref="J104:J113">J103</f>
        <v>0</v>
      </c>
      <c r="K104" s="249">
        <f t="shared" si="108"/>
        <v>0</v>
      </c>
      <c r="L104" s="306">
        <f aca="true" t="shared" si="111" ref="L104:L113">L103</f>
        <v>24</v>
      </c>
      <c r="M104" s="250">
        <f aca="true" t="shared" si="112" ref="M104:M113">M103</f>
        <v>24</v>
      </c>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row>
    <row r="105" spans="1:59" ht="12">
      <c r="A105" s="246" t="s">
        <v>241</v>
      </c>
      <c r="B105" s="247"/>
      <c r="C105" s="248">
        <f t="shared" si="102"/>
        <v>0</v>
      </c>
      <c r="D105" s="248">
        <f t="shared" si="103"/>
        <v>0</v>
      </c>
      <c r="E105" s="249">
        <f t="shared" si="104"/>
        <v>0</v>
      </c>
      <c r="F105" s="248">
        <f t="shared" si="109"/>
        <v>0</v>
      </c>
      <c r="G105" s="249">
        <f t="shared" si="105"/>
        <v>0</v>
      </c>
      <c r="H105" s="249">
        <f t="shared" si="106"/>
        <v>0</v>
      </c>
      <c r="I105" s="249">
        <f t="shared" si="107"/>
        <v>0</v>
      </c>
      <c r="J105" s="248">
        <f t="shared" si="110"/>
        <v>0</v>
      </c>
      <c r="K105" s="249">
        <f t="shared" si="108"/>
        <v>0</v>
      </c>
      <c r="L105" s="306">
        <f t="shared" si="111"/>
        <v>24</v>
      </c>
      <c r="M105" s="250">
        <f t="shared" si="112"/>
        <v>24</v>
      </c>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row>
    <row r="106" spans="1:59" ht="12">
      <c r="A106" s="246" t="s">
        <v>242</v>
      </c>
      <c r="B106" s="247"/>
      <c r="C106" s="248">
        <f t="shared" si="102"/>
        <v>0</v>
      </c>
      <c r="D106" s="248">
        <f t="shared" si="103"/>
        <v>0</v>
      </c>
      <c r="E106" s="249">
        <f t="shared" si="104"/>
        <v>0</v>
      </c>
      <c r="F106" s="248">
        <f t="shared" si="109"/>
        <v>0</v>
      </c>
      <c r="G106" s="249">
        <f t="shared" si="105"/>
        <v>0</v>
      </c>
      <c r="H106" s="249">
        <f t="shared" si="106"/>
        <v>0</v>
      </c>
      <c r="I106" s="249">
        <f t="shared" si="107"/>
        <v>0</v>
      </c>
      <c r="J106" s="248">
        <f t="shared" si="110"/>
        <v>0</v>
      </c>
      <c r="K106" s="249">
        <f t="shared" si="108"/>
        <v>0</v>
      </c>
      <c r="L106" s="306">
        <f t="shared" si="111"/>
        <v>24</v>
      </c>
      <c r="M106" s="250">
        <f t="shared" si="112"/>
        <v>24</v>
      </c>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row>
    <row r="107" spans="1:59" ht="12">
      <c r="A107" s="246" t="s">
        <v>243</v>
      </c>
      <c r="B107" s="247"/>
      <c r="C107" s="248">
        <f t="shared" si="102"/>
        <v>0</v>
      </c>
      <c r="D107" s="248">
        <f t="shared" si="103"/>
        <v>0</v>
      </c>
      <c r="E107" s="249">
        <f t="shared" si="104"/>
        <v>0</v>
      </c>
      <c r="F107" s="248">
        <f t="shared" si="109"/>
        <v>0</v>
      </c>
      <c r="G107" s="249">
        <f t="shared" si="105"/>
        <v>0</v>
      </c>
      <c r="H107" s="249">
        <f t="shared" si="106"/>
        <v>0</v>
      </c>
      <c r="I107" s="249">
        <f t="shared" si="107"/>
        <v>0</v>
      </c>
      <c r="J107" s="248">
        <f t="shared" si="110"/>
        <v>0</v>
      </c>
      <c r="K107" s="249">
        <f t="shared" si="108"/>
        <v>0</v>
      </c>
      <c r="L107" s="306">
        <f t="shared" si="111"/>
        <v>24</v>
      </c>
      <c r="M107" s="250">
        <f t="shared" si="112"/>
        <v>24</v>
      </c>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row>
    <row r="108" spans="1:59" ht="12">
      <c r="A108" s="246" t="s">
        <v>244</v>
      </c>
      <c r="B108" s="247"/>
      <c r="C108" s="248">
        <f t="shared" si="102"/>
        <v>0</v>
      </c>
      <c r="D108" s="248">
        <f t="shared" si="103"/>
        <v>0</v>
      </c>
      <c r="E108" s="249">
        <f t="shared" si="104"/>
        <v>0</v>
      </c>
      <c r="F108" s="248">
        <f t="shared" si="109"/>
        <v>0</v>
      </c>
      <c r="G108" s="249">
        <f t="shared" si="105"/>
        <v>0</v>
      </c>
      <c r="H108" s="249">
        <f t="shared" si="106"/>
        <v>0</v>
      </c>
      <c r="I108" s="249">
        <f t="shared" si="107"/>
        <v>0</v>
      </c>
      <c r="J108" s="248">
        <f t="shared" si="110"/>
        <v>0</v>
      </c>
      <c r="K108" s="249">
        <f t="shared" si="108"/>
        <v>0</v>
      </c>
      <c r="L108" s="306">
        <f t="shared" si="111"/>
        <v>24</v>
      </c>
      <c r="M108" s="250">
        <f t="shared" si="112"/>
        <v>24</v>
      </c>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row>
    <row r="109" spans="1:59" ht="12">
      <c r="A109" s="246" t="s">
        <v>245</v>
      </c>
      <c r="B109" s="247"/>
      <c r="C109" s="248">
        <f t="shared" si="102"/>
        <v>0</v>
      </c>
      <c r="D109" s="248">
        <f t="shared" si="103"/>
        <v>0</v>
      </c>
      <c r="E109" s="249">
        <f t="shared" si="104"/>
        <v>0</v>
      </c>
      <c r="F109" s="248">
        <f t="shared" si="109"/>
        <v>0</v>
      </c>
      <c r="G109" s="249">
        <f t="shared" si="105"/>
        <v>0</v>
      </c>
      <c r="H109" s="249">
        <f t="shared" si="106"/>
        <v>0</v>
      </c>
      <c r="I109" s="249">
        <f t="shared" si="107"/>
        <v>0</v>
      </c>
      <c r="J109" s="248">
        <f t="shared" si="110"/>
        <v>0</v>
      </c>
      <c r="K109" s="249">
        <f t="shared" si="108"/>
        <v>0</v>
      </c>
      <c r="L109" s="306">
        <f t="shared" si="111"/>
        <v>24</v>
      </c>
      <c r="M109" s="250">
        <f t="shared" si="112"/>
        <v>24</v>
      </c>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row>
    <row r="110" spans="1:59" ht="12">
      <c r="A110" s="246" t="s">
        <v>246</v>
      </c>
      <c r="B110" s="247"/>
      <c r="C110" s="248">
        <f t="shared" si="102"/>
        <v>0</v>
      </c>
      <c r="D110" s="248">
        <f t="shared" si="103"/>
        <v>0</v>
      </c>
      <c r="E110" s="249">
        <f t="shared" si="104"/>
        <v>0</v>
      </c>
      <c r="F110" s="248">
        <f t="shared" si="109"/>
        <v>0</v>
      </c>
      <c r="G110" s="249">
        <f t="shared" si="105"/>
        <v>0</v>
      </c>
      <c r="H110" s="249">
        <f t="shared" si="106"/>
        <v>0</v>
      </c>
      <c r="I110" s="249">
        <f t="shared" si="107"/>
        <v>0</v>
      </c>
      <c r="J110" s="248">
        <f t="shared" si="110"/>
        <v>0</v>
      </c>
      <c r="K110" s="249">
        <f t="shared" si="108"/>
        <v>0</v>
      </c>
      <c r="L110" s="306">
        <f t="shared" si="111"/>
        <v>24</v>
      </c>
      <c r="M110" s="250">
        <f t="shared" si="112"/>
        <v>24</v>
      </c>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row>
    <row r="111" spans="1:59" ht="12">
      <c r="A111" s="246" t="s">
        <v>247</v>
      </c>
      <c r="B111" s="247"/>
      <c r="C111" s="248">
        <f t="shared" si="102"/>
        <v>0</v>
      </c>
      <c r="D111" s="248">
        <f t="shared" si="103"/>
        <v>0</v>
      </c>
      <c r="E111" s="249">
        <f t="shared" si="104"/>
        <v>0</v>
      </c>
      <c r="F111" s="248">
        <f t="shared" si="109"/>
        <v>0</v>
      </c>
      <c r="G111" s="249">
        <f t="shared" si="105"/>
        <v>0</v>
      </c>
      <c r="H111" s="249">
        <f t="shared" si="106"/>
        <v>0</v>
      </c>
      <c r="I111" s="249">
        <f t="shared" si="107"/>
        <v>0</v>
      </c>
      <c r="J111" s="248">
        <f t="shared" si="110"/>
        <v>0</v>
      </c>
      <c r="K111" s="249">
        <f t="shared" si="108"/>
        <v>0</v>
      </c>
      <c r="L111" s="306">
        <f t="shared" si="111"/>
        <v>24</v>
      </c>
      <c r="M111" s="250">
        <f t="shared" si="112"/>
        <v>24</v>
      </c>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row>
    <row r="112" spans="1:59" ht="12">
      <c r="A112" s="246" t="s">
        <v>248</v>
      </c>
      <c r="B112" s="247"/>
      <c r="C112" s="248">
        <f t="shared" si="102"/>
        <v>0</v>
      </c>
      <c r="D112" s="248">
        <f t="shared" si="103"/>
        <v>0</v>
      </c>
      <c r="E112" s="249">
        <f t="shared" si="104"/>
        <v>0</v>
      </c>
      <c r="F112" s="248">
        <f t="shared" si="109"/>
        <v>0</v>
      </c>
      <c r="G112" s="249">
        <f t="shared" si="105"/>
        <v>0</v>
      </c>
      <c r="H112" s="249">
        <f t="shared" si="106"/>
        <v>0</v>
      </c>
      <c r="I112" s="249">
        <f t="shared" si="107"/>
        <v>0</v>
      </c>
      <c r="J112" s="248">
        <f t="shared" si="110"/>
        <v>0</v>
      </c>
      <c r="K112" s="249">
        <f t="shared" si="108"/>
        <v>0</v>
      </c>
      <c r="L112" s="306">
        <f t="shared" si="111"/>
        <v>24</v>
      </c>
      <c r="M112" s="250">
        <f t="shared" si="112"/>
        <v>24</v>
      </c>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row>
    <row r="113" spans="1:59" ht="12">
      <c r="A113" s="246" t="s">
        <v>249</v>
      </c>
      <c r="B113" s="247"/>
      <c r="C113" s="248">
        <f t="shared" si="102"/>
        <v>0</v>
      </c>
      <c r="D113" s="248">
        <f t="shared" si="103"/>
        <v>0</v>
      </c>
      <c r="E113" s="249">
        <f t="shared" si="104"/>
        <v>0</v>
      </c>
      <c r="F113" s="248">
        <f t="shared" si="109"/>
        <v>0</v>
      </c>
      <c r="G113" s="249">
        <f t="shared" si="105"/>
        <v>0</v>
      </c>
      <c r="H113" s="249">
        <f>E113*0.18</f>
        <v>0</v>
      </c>
      <c r="I113" s="249">
        <f t="shared" si="107"/>
        <v>0</v>
      </c>
      <c r="J113" s="248">
        <f t="shared" si="110"/>
        <v>0</v>
      </c>
      <c r="K113" s="249">
        <f t="shared" si="108"/>
        <v>0</v>
      </c>
      <c r="L113" s="306">
        <f t="shared" si="111"/>
        <v>24</v>
      </c>
      <c r="M113" s="250">
        <f t="shared" si="112"/>
        <v>24</v>
      </c>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row>
    <row r="114" spans="1:59" ht="12.75">
      <c r="A114" s="243">
        <f>A101+1</f>
        <v>2020</v>
      </c>
      <c r="B114" s="252"/>
      <c r="C114" s="252"/>
      <c r="D114" s="252"/>
      <c r="E114" s="244">
        <f>SUM(E115:E126)</f>
        <v>0</v>
      </c>
      <c r="F114" s="252"/>
      <c r="G114" s="244">
        <f aca="true" t="shared" si="113" ref="G114:M114">SUM(G115:G126)</f>
        <v>0</v>
      </c>
      <c r="H114" s="244">
        <f t="shared" si="113"/>
        <v>0</v>
      </c>
      <c r="I114" s="244">
        <f t="shared" si="113"/>
        <v>0</v>
      </c>
      <c r="J114" s="244">
        <f t="shared" si="113"/>
        <v>0</v>
      </c>
      <c r="K114" s="244">
        <f t="shared" si="113"/>
        <v>0</v>
      </c>
      <c r="L114" s="245">
        <f t="shared" si="113"/>
        <v>288</v>
      </c>
      <c r="M114" s="245">
        <f t="shared" si="113"/>
        <v>288</v>
      </c>
      <c r="N114" s="725">
        <f>ROUND((M114/L114),5)</f>
        <v>1</v>
      </c>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row>
    <row r="115" spans="1:59" ht="12">
      <c r="A115" s="246" t="s">
        <v>238</v>
      </c>
      <c r="B115" s="247"/>
      <c r="C115" s="248">
        <v>0</v>
      </c>
      <c r="D115" s="248">
        <f>D113</f>
        <v>0</v>
      </c>
      <c r="E115" s="249">
        <f>C115+D115</f>
        <v>0</v>
      </c>
      <c r="F115" s="248">
        <f>F113</f>
        <v>0</v>
      </c>
      <c r="G115" s="249">
        <f>SUM(E115:F115)</f>
        <v>0</v>
      </c>
      <c r="H115" s="249">
        <f>E115*0.18</f>
        <v>0</v>
      </c>
      <c r="I115" s="249">
        <f>(G115+H115)/L115*M115</f>
        <v>0</v>
      </c>
      <c r="J115" s="248">
        <f>J113</f>
        <v>0</v>
      </c>
      <c r="K115" s="249">
        <f>J115/L115*M115</f>
        <v>0</v>
      </c>
      <c r="L115" s="306">
        <f>L113</f>
        <v>24</v>
      </c>
      <c r="M115" s="250">
        <f>M113</f>
        <v>24</v>
      </c>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row>
    <row r="116" spans="1:59" ht="12">
      <c r="A116" s="246" t="s">
        <v>239</v>
      </c>
      <c r="B116" s="247"/>
      <c r="C116" s="248">
        <f aca="true" t="shared" si="114" ref="C116:C126">C115</f>
        <v>0</v>
      </c>
      <c r="D116" s="248">
        <f aca="true" t="shared" si="115" ref="D116:D126">D115</f>
        <v>0</v>
      </c>
      <c r="E116" s="249">
        <f aca="true" t="shared" si="116" ref="E116:E126">C116+D116</f>
        <v>0</v>
      </c>
      <c r="F116" s="248">
        <f>F115</f>
        <v>0</v>
      </c>
      <c r="G116" s="249">
        <f aca="true" t="shared" si="117" ref="G116:G126">SUM(E116:F116)</f>
        <v>0</v>
      </c>
      <c r="H116" s="249">
        <f aca="true" t="shared" si="118" ref="H116:H125">E116*0.18</f>
        <v>0</v>
      </c>
      <c r="I116" s="249">
        <f aca="true" t="shared" si="119" ref="I116:I126">(G116+H116)/L116*M116</f>
        <v>0</v>
      </c>
      <c r="J116" s="248">
        <f>J115</f>
        <v>0</v>
      </c>
      <c r="K116" s="249">
        <f aca="true" t="shared" si="120" ref="K116:K126">J116/L116*M116</f>
        <v>0</v>
      </c>
      <c r="L116" s="306">
        <f>L115</f>
        <v>24</v>
      </c>
      <c r="M116" s="250">
        <f>M115</f>
        <v>24</v>
      </c>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row>
    <row r="117" spans="1:59" ht="12">
      <c r="A117" s="246" t="s">
        <v>240</v>
      </c>
      <c r="B117" s="247"/>
      <c r="C117" s="248">
        <f t="shared" si="114"/>
        <v>0</v>
      </c>
      <c r="D117" s="248">
        <f t="shared" si="115"/>
        <v>0</v>
      </c>
      <c r="E117" s="249">
        <f t="shared" si="116"/>
        <v>0</v>
      </c>
      <c r="F117" s="248">
        <f aca="true" t="shared" si="121" ref="F117:F126">F116</f>
        <v>0</v>
      </c>
      <c r="G117" s="249">
        <f t="shared" si="117"/>
        <v>0</v>
      </c>
      <c r="H117" s="249">
        <f t="shared" si="118"/>
        <v>0</v>
      </c>
      <c r="I117" s="249">
        <f t="shared" si="119"/>
        <v>0</v>
      </c>
      <c r="J117" s="248">
        <f aca="true" t="shared" si="122" ref="J117:J126">J116</f>
        <v>0</v>
      </c>
      <c r="K117" s="249">
        <f t="shared" si="120"/>
        <v>0</v>
      </c>
      <c r="L117" s="306">
        <f aca="true" t="shared" si="123" ref="L117:L126">L116</f>
        <v>24</v>
      </c>
      <c r="M117" s="250">
        <f aca="true" t="shared" si="124" ref="M117:M126">M116</f>
        <v>24</v>
      </c>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row>
    <row r="118" spans="1:59" ht="12">
      <c r="A118" s="246" t="s">
        <v>241</v>
      </c>
      <c r="B118" s="247"/>
      <c r="C118" s="248">
        <f t="shared" si="114"/>
        <v>0</v>
      </c>
      <c r="D118" s="248">
        <f t="shared" si="115"/>
        <v>0</v>
      </c>
      <c r="E118" s="249">
        <f t="shared" si="116"/>
        <v>0</v>
      </c>
      <c r="F118" s="248">
        <f t="shared" si="121"/>
        <v>0</v>
      </c>
      <c r="G118" s="249">
        <f t="shared" si="117"/>
        <v>0</v>
      </c>
      <c r="H118" s="249">
        <f t="shared" si="118"/>
        <v>0</v>
      </c>
      <c r="I118" s="249">
        <f t="shared" si="119"/>
        <v>0</v>
      </c>
      <c r="J118" s="248">
        <f t="shared" si="122"/>
        <v>0</v>
      </c>
      <c r="K118" s="249">
        <f t="shared" si="120"/>
        <v>0</v>
      </c>
      <c r="L118" s="306">
        <f t="shared" si="123"/>
        <v>24</v>
      </c>
      <c r="M118" s="250">
        <f t="shared" si="124"/>
        <v>24</v>
      </c>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row>
    <row r="119" spans="1:59" ht="12">
      <c r="A119" s="246" t="s">
        <v>242</v>
      </c>
      <c r="B119" s="247"/>
      <c r="C119" s="248">
        <f t="shared" si="114"/>
        <v>0</v>
      </c>
      <c r="D119" s="248">
        <f t="shared" si="115"/>
        <v>0</v>
      </c>
      <c r="E119" s="249">
        <f t="shared" si="116"/>
        <v>0</v>
      </c>
      <c r="F119" s="248">
        <f t="shared" si="121"/>
        <v>0</v>
      </c>
      <c r="G119" s="249">
        <f t="shared" si="117"/>
        <v>0</v>
      </c>
      <c r="H119" s="249">
        <f t="shared" si="118"/>
        <v>0</v>
      </c>
      <c r="I119" s="249">
        <f t="shared" si="119"/>
        <v>0</v>
      </c>
      <c r="J119" s="248">
        <f t="shared" si="122"/>
        <v>0</v>
      </c>
      <c r="K119" s="249">
        <f t="shared" si="120"/>
        <v>0</v>
      </c>
      <c r="L119" s="306">
        <f t="shared" si="123"/>
        <v>24</v>
      </c>
      <c r="M119" s="250">
        <f t="shared" si="124"/>
        <v>24</v>
      </c>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row>
    <row r="120" spans="1:59" ht="12">
      <c r="A120" s="246" t="s">
        <v>243</v>
      </c>
      <c r="B120" s="247"/>
      <c r="C120" s="248">
        <f t="shared" si="114"/>
        <v>0</v>
      </c>
      <c r="D120" s="248">
        <f t="shared" si="115"/>
        <v>0</v>
      </c>
      <c r="E120" s="249">
        <f t="shared" si="116"/>
        <v>0</v>
      </c>
      <c r="F120" s="248">
        <f t="shared" si="121"/>
        <v>0</v>
      </c>
      <c r="G120" s="249">
        <f t="shared" si="117"/>
        <v>0</v>
      </c>
      <c r="H120" s="249">
        <f t="shared" si="118"/>
        <v>0</v>
      </c>
      <c r="I120" s="249">
        <f t="shared" si="119"/>
        <v>0</v>
      </c>
      <c r="J120" s="248">
        <f t="shared" si="122"/>
        <v>0</v>
      </c>
      <c r="K120" s="249">
        <f t="shared" si="120"/>
        <v>0</v>
      </c>
      <c r="L120" s="306">
        <f t="shared" si="123"/>
        <v>24</v>
      </c>
      <c r="M120" s="250">
        <f t="shared" si="124"/>
        <v>24</v>
      </c>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row>
    <row r="121" spans="1:59" ht="12">
      <c r="A121" s="246" t="s">
        <v>244</v>
      </c>
      <c r="B121" s="247"/>
      <c r="C121" s="248">
        <f t="shared" si="114"/>
        <v>0</v>
      </c>
      <c r="D121" s="248">
        <f t="shared" si="115"/>
        <v>0</v>
      </c>
      <c r="E121" s="249">
        <f t="shared" si="116"/>
        <v>0</v>
      </c>
      <c r="F121" s="248">
        <f t="shared" si="121"/>
        <v>0</v>
      </c>
      <c r="G121" s="249">
        <f t="shared" si="117"/>
        <v>0</v>
      </c>
      <c r="H121" s="249">
        <f t="shared" si="118"/>
        <v>0</v>
      </c>
      <c r="I121" s="249">
        <f t="shared" si="119"/>
        <v>0</v>
      </c>
      <c r="J121" s="248">
        <f t="shared" si="122"/>
        <v>0</v>
      </c>
      <c r="K121" s="249">
        <f t="shared" si="120"/>
        <v>0</v>
      </c>
      <c r="L121" s="306">
        <f t="shared" si="123"/>
        <v>24</v>
      </c>
      <c r="M121" s="250">
        <f t="shared" si="124"/>
        <v>24</v>
      </c>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row>
    <row r="122" spans="1:59" ht="12">
      <c r="A122" s="246" t="s">
        <v>245</v>
      </c>
      <c r="B122" s="247"/>
      <c r="C122" s="248">
        <f t="shared" si="114"/>
        <v>0</v>
      </c>
      <c r="D122" s="248">
        <f t="shared" si="115"/>
        <v>0</v>
      </c>
      <c r="E122" s="249">
        <f t="shared" si="116"/>
        <v>0</v>
      </c>
      <c r="F122" s="248">
        <f t="shared" si="121"/>
        <v>0</v>
      </c>
      <c r="G122" s="249">
        <f t="shared" si="117"/>
        <v>0</v>
      </c>
      <c r="H122" s="249">
        <f t="shared" si="118"/>
        <v>0</v>
      </c>
      <c r="I122" s="249">
        <f t="shared" si="119"/>
        <v>0</v>
      </c>
      <c r="J122" s="248">
        <f t="shared" si="122"/>
        <v>0</v>
      </c>
      <c r="K122" s="249">
        <f t="shared" si="120"/>
        <v>0</v>
      </c>
      <c r="L122" s="306">
        <f t="shared" si="123"/>
        <v>24</v>
      </c>
      <c r="M122" s="250">
        <f t="shared" si="124"/>
        <v>24</v>
      </c>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row>
    <row r="123" spans="1:59" ht="12">
      <c r="A123" s="246" t="s">
        <v>246</v>
      </c>
      <c r="B123" s="247"/>
      <c r="C123" s="248">
        <f t="shared" si="114"/>
        <v>0</v>
      </c>
      <c r="D123" s="248">
        <f t="shared" si="115"/>
        <v>0</v>
      </c>
      <c r="E123" s="249">
        <f t="shared" si="116"/>
        <v>0</v>
      </c>
      <c r="F123" s="248">
        <f t="shared" si="121"/>
        <v>0</v>
      </c>
      <c r="G123" s="249">
        <f t="shared" si="117"/>
        <v>0</v>
      </c>
      <c r="H123" s="249">
        <f t="shared" si="118"/>
        <v>0</v>
      </c>
      <c r="I123" s="249">
        <f t="shared" si="119"/>
        <v>0</v>
      </c>
      <c r="J123" s="248">
        <f t="shared" si="122"/>
        <v>0</v>
      </c>
      <c r="K123" s="249">
        <f t="shared" si="120"/>
        <v>0</v>
      </c>
      <c r="L123" s="306">
        <f t="shared" si="123"/>
        <v>24</v>
      </c>
      <c r="M123" s="250">
        <f t="shared" si="124"/>
        <v>24</v>
      </c>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row>
    <row r="124" spans="1:59" ht="12">
      <c r="A124" s="246" t="s">
        <v>247</v>
      </c>
      <c r="B124" s="247"/>
      <c r="C124" s="248">
        <f t="shared" si="114"/>
        <v>0</v>
      </c>
      <c r="D124" s="248">
        <f t="shared" si="115"/>
        <v>0</v>
      </c>
      <c r="E124" s="249">
        <f t="shared" si="116"/>
        <v>0</v>
      </c>
      <c r="F124" s="248">
        <f t="shared" si="121"/>
        <v>0</v>
      </c>
      <c r="G124" s="249">
        <f t="shared" si="117"/>
        <v>0</v>
      </c>
      <c r="H124" s="249">
        <f t="shared" si="118"/>
        <v>0</v>
      </c>
      <c r="I124" s="249">
        <f t="shared" si="119"/>
        <v>0</v>
      </c>
      <c r="J124" s="248">
        <f t="shared" si="122"/>
        <v>0</v>
      </c>
      <c r="K124" s="249">
        <f t="shared" si="120"/>
        <v>0</v>
      </c>
      <c r="L124" s="306">
        <f t="shared" si="123"/>
        <v>24</v>
      </c>
      <c r="M124" s="250">
        <f t="shared" si="124"/>
        <v>24</v>
      </c>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row>
    <row r="125" spans="1:59" ht="12">
      <c r="A125" s="246" t="s">
        <v>248</v>
      </c>
      <c r="B125" s="247"/>
      <c r="C125" s="248">
        <f t="shared" si="114"/>
        <v>0</v>
      </c>
      <c r="D125" s="248">
        <f t="shared" si="115"/>
        <v>0</v>
      </c>
      <c r="E125" s="249">
        <f t="shared" si="116"/>
        <v>0</v>
      </c>
      <c r="F125" s="248">
        <f t="shared" si="121"/>
        <v>0</v>
      </c>
      <c r="G125" s="249">
        <f t="shared" si="117"/>
        <v>0</v>
      </c>
      <c r="H125" s="249">
        <f t="shared" si="118"/>
        <v>0</v>
      </c>
      <c r="I125" s="249">
        <f t="shared" si="119"/>
        <v>0</v>
      </c>
      <c r="J125" s="248">
        <f t="shared" si="122"/>
        <v>0</v>
      </c>
      <c r="K125" s="249">
        <f t="shared" si="120"/>
        <v>0</v>
      </c>
      <c r="L125" s="306">
        <f t="shared" si="123"/>
        <v>24</v>
      </c>
      <c r="M125" s="250">
        <f t="shared" si="124"/>
        <v>24</v>
      </c>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row>
    <row r="126" spans="1:59" ht="12">
      <c r="A126" s="246" t="s">
        <v>249</v>
      </c>
      <c r="B126" s="247"/>
      <c r="C126" s="248">
        <f t="shared" si="114"/>
        <v>0</v>
      </c>
      <c r="D126" s="248">
        <f t="shared" si="115"/>
        <v>0</v>
      </c>
      <c r="E126" s="249">
        <f t="shared" si="116"/>
        <v>0</v>
      </c>
      <c r="F126" s="248">
        <f t="shared" si="121"/>
        <v>0</v>
      </c>
      <c r="G126" s="249">
        <f t="shared" si="117"/>
        <v>0</v>
      </c>
      <c r="H126" s="249">
        <f>E126*0.18</f>
        <v>0</v>
      </c>
      <c r="I126" s="249">
        <f t="shared" si="119"/>
        <v>0</v>
      </c>
      <c r="J126" s="248">
        <f t="shared" si="122"/>
        <v>0</v>
      </c>
      <c r="K126" s="249">
        <f t="shared" si="120"/>
        <v>0</v>
      </c>
      <c r="L126" s="306">
        <f t="shared" si="123"/>
        <v>24</v>
      </c>
      <c r="M126" s="250">
        <f t="shared" si="124"/>
        <v>24</v>
      </c>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row>
    <row r="127" spans="1:59" ht="1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row>
    <row r="128" spans="1:59" ht="1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row>
    <row r="129" spans="1:59" ht="1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row>
    <row r="130" spans="1:59" ht="1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row>
    <row r="131" spans="1:59" ht="1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row>
    <row r="132" spans="1:59" ht="1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row>
    <row r="133" spans="1:59" ht="1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row>
    <row r="134" spans="1:59" ht="1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row>
    <row r="135" spans="1:59" ht="1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row>
    <row r="136" spans="1:59" ht="1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row>
    <row r="137" spans="1:59" ht="1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row>
    <row r="138" spans="1:59" ht="1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row>
    <row r="139" spans="1:59" ht="1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row>
    <row r="140" spans="1:59" ht="1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row>
    <row r="141" spans="1:59" ht="1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row>
    <row r="142" spans="1:59" ht="1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row>
    <row r="143" spans="1:59" ht="1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row>
    <row r="144" spans="1:59" ht="1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row>
    <row r="145" spans="1:59" ht="1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row>
    <row r="146" spans="1:59" ht="1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row>
    <row r="147" spans="1:59" ht="1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row>
    <row r="148" spans="1:59" ht="1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row>
    <row r="149" spans="1:59" ht="1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row>
    <row r="150" spans="1:59" ht="1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row>
    <row r="151" spans="1:59" ht="1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row>
    <row r="152" spans="1:59" ht="1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row>
    <row r="153" spans="1:59" ht="1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row>
    <row r="154" spans="1:59" ht="1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row>
    <row r="155" spans="1:59" ht="1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row>
    <row r="156" spans="1:59" ht="1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row>
    <row r="157" spans="1:59" ht="1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row>
    <row r="158" spans="1:59" ht="1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row>
    <row r="159" spans="1:59" ht="1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row>
    <row r="160" spans="1:59" ht="1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row>
    <row r="161" spans="1:59" ht="1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row>
    <row r="162" spans="1:59" ht="1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row>
    <row r="163" spans="1:59" ht="1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row>
    <row r="164" spans="1:59" ht="1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row>
    <row r="165" spans="1:59" ht="1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row>
    <row r="166" spans="1:59" ht="1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row>
    <row r="167" spans="1:59" ht="1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row>
    <row r="168" spans="1:59" ht="1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row>
    <row r="169" spans="1:59" ht="1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row>
    <row r="170" spans="1:59" ht="1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row>
    <row r="171" spans="1:59" ht="1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row>
    <row r="172" spans="1:59" ht="1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row>
    <row r="173" spans="1:59" ht="1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row>
    <row r="174" spans="1:59" ht="1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row>
    <row r="175" spans="1:59" ht="1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row>
    <row r="176" spans="1:59" ht="1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row>
    <row r="177" spans="1:59" ht="1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row>
    <row r="178" spans="1:59" ht="1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row>
    <row r="179" spans="1:59" ht="1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row>
    <row r="180" spans="1:59" ht="1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row>
    <row r="181" spans="1:59" ht="1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row>
    <row r="182" spans="1:59" ht="1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row>
    <row r="183" spans="1:59" ht="1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row>
    <row r="184" spans="1:59" ht="1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row>
    <row r="185" spans="1:59" ht="1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row>
    <row r="186" spans="1:59" ht="1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row>
    <row r="187" spans="1:59" ht="1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row>
    <row r="188" spans="1:59" ht="1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row>
    <row r="189" spans="1:59" ht="1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row>
    <row r="190" spans="1:59" ht="1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row>
    <row r="191" spans="1:59" ht="1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row>
    <row r="192" spans="1:59" ht="1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row>
    <row r="193" spans="1:59" ht="1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row>
    <row r="194" spans="1:59" ht="1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row>
    <row r="195" spans="1:59" ht="1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row>
    <row r="196" spans="1:59" ht="1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row>
    <row r="197" spans="1:59" ht="1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row>
    <row r="198" spans="1:59" ht="1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row>
    <row r="199" spans="1:59" ht="1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row>
    <row r="200" spans="1:59" ht="1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row>
    <row r="201" spans="1:59" ht="1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row>
    <row r="202" spans="1:59" ht="1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row>
    <row r="203" spans="1:59" ht="1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row>
    <row r="204" spans="1:59" ht="1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row>
    <row r="205" spans="1:59" ht="1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row>
    <row r="206" spans="1:59" ht="1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row>
    <row r="207" spans="1:59" ht="1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row>
    <row r="208" spans="1:59" ht="1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row>
    <row r="209" spans="1:59" ht="1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row>
    <row r="210" spans="1:59" ht="1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row>
    <row r="211" spans="1:59" ht="1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row>
    <row r="212" spans="1:59" ht="1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row>
    <row r="213" spans="1:59" ht="1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row>
    <row r="214" spans="1:59" ht="1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row>
    <row r="215" spans="1:59" ht="1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row>
    <row r="216" spans="1:59" ht="1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row>
    <row r="217" spans="1:59" ht="1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row>
    <row r="218" spans="1:59" ht="1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row>
    <row r="219" spans="1:59" ht="1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row>
    <row r="220" spans="1:59" ht="1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row>
    <row r="221" spans="1:59" ht="1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row>
    <row r="222" spans="1:59" ht="1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row>
    <row r="223" spans="1:59" ht="1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row>
    <row r="224" spans="1:59" ht="1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row>
    <row r="225" spans="1:59" ht="1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row>
    <row r="226" spans="1:59" ht="1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row>
    <row r="227" spans="1:59" ht="1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row>
    <row r="228" spans="1:59" ht="1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row>
    <row r="229" spans="1:59" ht="1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row>
    <row r="230" spans="1:59" ht="1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row>
    <row r="231" spans="1:59" ht="1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row>
    <row r="232" spans="1:59" ht="1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row>
    <row r="233" spans="1:59" ht="1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row>
    <row r="234" spans="1:59" ht="1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row>
    <row r="235" spans="1:59" ht="1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row>
    <row r="236" spans="1:59" ht="1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row>
    <row r="237" spans="1:59" ht="1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row>
    <row r="238" spans="1:59" ht="1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row>
    <row r="239" spans="1:59" ht="1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row>
    <row r="240" spans="1:59" ht="1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row>
    <row r="241" spans="1:59" ht="1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row>
    <row r="242" spans="1:59" ht="1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row>
    <row r="243" spans="1:59" ht="1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row>
    <row r="244" spans="1:59" ht="1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row>
    <row r="245" spans="1:59" ht="1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row>
    <row r="246" spans="1:59" ht="1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row>
    <row r="247" spans="1:59" ht="1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row>
    <row r="248" spans="1:59" ht="1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row>
    <row r="249" spans="1:59" ht="1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row>
    <row r="250" spans="1:59" ht="1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row>
    <row r="251" spans="1:59" ht="1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row>
    <row r="252" spans="1:59" ht="1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row>
    <row r="253" spans="1:59" ht="1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row>
    <row r="254" spans="1:59" ht="1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row>
    <row r="255" spans="1:59" ht="1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row>
    <row r="256" spans="1:59" ht="1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row>
    <row r="257" spans="1:59" ht="1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row>
    <row r="258" spans="1:59" ht="1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row>
    <row r="259" spans="1:59" ht="1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row>
    <row r="260" spans="1:59" ht="1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row>
    <row r="261" spans="1:59" ht="1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row>
    <row r="262" spans="1:59" ht="1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row>
    <row r="263" spans="1:59" ht="1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row>
    <row r="264" spans="1:59" ht="1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row>
    <row r="265" spans="1:59" ht="1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row>
    <row r="266" spans="1:59" ht="1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row>
    <row r="267" spans="1:59" ht="1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row>
    <row r="268" spans="1:59" ht="1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row>
    <row r="269" spans="1:59" ht="1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row>
    <row r="270" spans="1:59" ht="1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row>
    <row r="271" spans="1:59" ht="1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row>
    <row r="272" spans="1:59" ht="1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row>
    <row r="273" spans="1:59" ht="1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row>
    <row r="274" spans="1:59" ht="1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row>
    <row r="275" spans="1:59" ht="1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row>
    <row r="276" spans="1:59" ht="1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row>
    <row r="277" spans="1:59" ht="1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row>
    <row r="278" spans="1:59" ht="1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row>
    <row r="279" spans="1:59" ht="1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row>
    <row r="280" spans="1:59" ht="1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row>
    <row r="281" spans="1:59" ht="1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row>
    <row r="282" spans="1:59" ht="1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row>
    <row r="283" spans="1:59" ht="1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row>
    <row r="284" spans="1:59" ht="1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row>
    <row r="285" spans="1:59" ht="1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row>
    <row r="286" spans="1:59" ht="1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row>
    <row r="287" spans="1:59" ht="1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row>
    <row r="288" spans="1:59" ht="1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row>
    <row r="289" spans="1:59" ht="1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row>
    <row r="290" spans="1:59" ht="1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row>
    <row r="291" spans="1:59" ht="1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row>
    <row r="292" spans="1:59" ht="1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row>
    <row r="293" spans="1:59" ht="1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row>
    <row r="294" spans="1:59" ht="1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row>
    <row r="295" spans="1:59" ht="1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row>
    <row r="296" spans="1:59" ht="1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row>
    <row r="297" spans="1:59" ht="1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row>
    <row r="298" spans="1:59" ht="1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row>
    <row r="299" spans="1:59" ht="1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row>
    <row r="300" spans="1:59" ht="1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row>
    <row r="301" spans="1:59" ht="1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row>
    <row r="302" spans="1:59" ht="1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row>
    <row r="303" spans="1:59" ht="1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row>
    <row r="304" spans="1:59" ht="1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row>
    <row r="305" spans="1:59" ht="1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row>
    <row r="306" spans="1:59" ht="1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row>
    <row r="307" spans="1:59" ht="1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69"/>
      <c r="BG307" s="69"/>
    </row>
    <row r="308" spans="1:59" ht="1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row>
    <row r="309" spans="1:59" ht="1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row>
    <row r="310" spans="1:59" ht="1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row>
    <row r="311" spans="1:59" ht="1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row>
    <row r="312" spans="1:59" ht="1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row>
    <row r="313" spans="1:59" ht="1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row>
    <row r="314" spans="1:59" ht="1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row>
    <row r="315" spans="1:59" ht="1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row>
    <row r="316" spans="1:59" ht="1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row>
    <row r="317" spans="1:59" ht="1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row>
    <row r="318" spans="1:59" ht="1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row>
    <row r="319" spans="1:59" ht="1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row>
    <row r="320" spans="1:59" ht="1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row>
    <row r="321" spans="1:59" ht="1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row>
    <row r="322" spans="1:59" ht="1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row>
    <row r="323" spans="1:59" ht="1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row>
    <row r="324" spans="1:59" ht="1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row>
    <row r="325" spans="1:59" ht="1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row>
    <row r="326" spans="1:59" ht="1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row>
    <row r="327" spans="1:59" ht="1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row>
    <row r="328" spans="1:59" ht="1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row>
    <row r="329" spans="1:59" ht="1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row>
    <row r="330" spans="1:59" ht="1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row>
    <row r="331" spans="1:59" ht="1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row>
  </sheetData>
  <sheetProtection password="D8FD" sheet="1"/>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Foglio11"/>
  <dimension ref="A1:AN155"/>
  <sheetViews>
    <sheetView zoomScalePageLayoutView="0" workbookViewId="0" topLeftCell="A1">
      <selection activeCell="L25" sqref="L25"/>
    </sheetView>
  </sheetViews>
  <sheetFormatPr defaultColWidth="9.140625" defaultRowHeight="12.75"/>
  <cols>
    <col min="1" max="1" width="7.7109375" style="397" customWidth="1"/>
    <col min="2" max="27" width="7.7109375" style="207" customWidth="1"/>
    <col min="28" max="28" width="7.7109375" style="398" customWidth="1"/>
  </cols>
  <sheetData>
    <row r="1" spans="1:40" ht="18">
      <c r="A1" s="216">
        <f>Datipers!E16</f>
        <v>2017</v>
      </c>
      <c r="B1" s="388" t="s">
        <v>434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90"/>
      <c r="AC1" s="390"/>
      <c r="AD1" s="390"/>
      <c r="AE1" s="390"/>
      <c r="AF1" s="390"/>
      <c r="AG1" s="390"/>
      <c r="AH1" s="390"/>
      <c r="AI1" s="390"/>
      <c r="AJ1" s="390"/>
      <c r="AK1" s="390"/>
      <c r="AL1" s="390"/>
      <c r="AM1" s="390"/>
      <c r="AN1" s="390"/>
    </row>
    <row r="2" spans="1:40" ht="15">
      <c r="A2" s="391"/>
      <c r="B2" s="392" t="s">
        <v>307</v>
      </c>
      <c r="C2" s="393"/>
      <c r="D2" s="393"/>
      <c r="E2" s="393"/>
      <c r="F2" s="393"/>
      <c r="G2" s="393"/>
      <c r="H2" s="393"/>
      <c r="I2" s="393"/>
      <c r="J2" s="394"/>
      <c r="K2" s="393"/>
      <c r="L2" s="393"/>
      <c r="M2" s="393"/>
      <c r="N2" s="395"/>
      <c r="O2" s="395"/>
      <c r="P2" s="395"/>
      <c r="Q2" s="395"/>
      <c r="R2" s="395"/>
      <c r="S2" s="395"/>
      <c r="T2" s="395"/>
      <c r="U2" s="395"/>
      <c r="V2" s="395"/>
      <c r="W2" s="395"/>
      <c r="X2" s="395"/>
      <c r="Y2" s="395"/>
      <c r="Z2" s="395"/>
      <c r="AA2" s="395"/>
      <c r="AB2" s="396"/>
      <c r="AC2" s="396"/>
      <c r="AD2" s="396"/>
      <c r="AE2" s="396"/>
      <c r="AF2" s="396"/>
      <c r="AG2" s="396"/>
      <c r="AH2" s="396"/>
      <c r="AI2" s="396"/>
      <c r="AJ2" s="396"/>
      <c r="AK2" s="396"/>
      <c r="AL2" s="396"/>
      <c r="AM2" s="396"/>
      <c r="AN2" s="396"/>
    </row>
    <row r="3" spans="1:40" ht="15">
      <c r="A3" s="391"/>
      <c r="B3" s="392"/>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6"/>
      <c r="AC3" s="396"/>
      <c r="AD3" s="396"/>
      <c r="AE3" s="396"/>
      <c r="AF3" s="396"/>
      <c r="AG3" s="396"/>
      <c r="AH3" s="396"/>
      <c r="AI3" s="396"/>
      <c r="AJ3" s="396"/>
      <c r="AK3" s="396"/>
      <c r="AL3" s="396"/>
      <c r="AM3" s="396"/>
      <c r="AN3" s="396"/>
    </row>
    <row r="4" spans="1:40" ht="12">
      <c r="A4" s="401" t="s">
        <v>308</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row>
    <row r="5" spans="1:40" ht="12.75">
      <c r="A5" s="431" t="s">
        <v>349</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row>
    <row r="6" spans="1:40" ht="12">
      <c r="A6" s="684" t="s">
        <v>309</v>
      </c>
      <c r="B6" s="686"/>
      <c r="C6" s="684" t="s">
        <v>313</v>
      </c>
      <c r="D6" s="686"/>
      <c r="E6" s="696" t="s">
        <v>309</v>
      </c>
      <c r="F6" s="698"/>
      <c r="G6" s="696" t="s">
        <v>316</v>
      </c>
      <c r="H6" s="698"/>
      <c r="I6" s="684" t="s">
        <v>309</v>
      </c>
      <c r="J6" s="686"/>
      <c r="K6" s="684" t="s">
        <v>316</v>
      </c>
      <c r="L6" s="686"/>
      <c r="M6" s="696" t="s">
        <v>319</v>
      </c>
      <c r="N6" s="698"/>
      <c r="O6" s="684" t="s">
        <v>319</v>
      </c>
      <c r="P6" s="686"/>
      <c r="Q6" s="696" t="s">
        <v>322</v>
      </c>
      <c r="R6" s="697"/>
      <c r="S6" s="697"/>
      <c r="T6" s="698"/>
      <c r="U6" s="713" t="s">
        <v>324</v>
      </c>
      <c r="V6" s="714"/>
      <c r="W6" s="402"/>
      <c r="X6" s="402"/>
      <c r="Y6" s="402"/>
      <c r="Z6" s="402"/>
      <c r="AA6" s="402"/>
      <c r="AB6" s="402"/>
      <c r="AC6" s="402"/>
      <c r="AD6" s="402"/>
      <c r="AE6" s="402"/>
      <c r="AF6" s="402"/>
      <c r="AG6" s="402"/>
      <c r="AH6" s="402"/>
      <c r="AI6" s="402"/>
      <c r="AJ6" s="402"/>
      <c r="AK6" s="402"/>
      <c r="AL6" s="402"/>
      <c r="AM6" s="402"/>
      <c r="AN6" s="402"/>
    </row>
    <row r="7" spans="1:40" ht="12">
      <c r="A7" s="687" t="s">
        <v>310</v>
      </c>
      <c r="B7" s="689"/>
      <c r="C7" s="687" t="s">
        <v>314</v>
      </c>
      <c r="D7" s="689"/>
      <c r="E7" s="699" t="s">
        <v>315</v>
      </c>
      <c r="F7" s="701"/>
      <c r="G7" s="699" t="s">
        <v>317</v>
      </c>
      <c r="H7" s="701"/>
      <c r="I7" s="687" t="s">
        <v>318</v>
      </c>
      <c r="J7" s="689"/>
      <c r="K7" s="687" t="s">
        <v>317</v>
      </c>
      <c r="L7" s="689"/>
      <c r="M7" s="699" t="s">
        <v>320</v>
      </c>
      <c r="N7" s="701"/>
      <c r="O7" s="687" t="s">
        <v>321</v>
      </c>
      <c r="P7" s="689"/>
      <c r="Q7" s="699" t="s">
        <v>323</v>
      </c>
      <c r="R7" s="700"/>
      <c r="S7" s="700"/>
      <c r="T7" s="701"/>
      <c r="U7" s="713" t="s">
        <v>325</v>
      </c>
      <c r="V7" s="714"/>
      <c r="W7" s="402"/>
      <c r="X7" s="402"/>
      <c r="Y7" s="402"/>
      <c r="Z7" s="402"/>
      <c r="AA7" s="402"/>
      <c r="AB7" s="402"/>
      <c r="AC7" s="402"/>
      <c r="AD7" s="402"/>
      <c r="AE7" s="402"/>
      <c r="AF7" s="402"/>
      <c r="AG7" s="402"/>
      <c r="AH7" s="402"/>
      <c r="AI7" s="402"/>
      <c r="AJ7" s="402"/>
      <c r="AK7" s="402"/>
      <c r="AL7" s="402"/>
      <c r="AM7" s="402"/>
      <c r="AN7" s="402"/>
    </row>
    <row r="8" spans="1:40" ht="12">
      <c r="A8" s="399" t="s">
        <v>311</v>
      </c>
      <c r="B8" s="399" t="s">
        <v>312</v>
      </c>
      <c r="C8" s="407" t="s">
        <v>133</v>
      </c>
      <c r="D8" s="408"/>
      <c r="E8" s="22" t="s">
        <v>311</v>
      </c>
      <c r="F8" s="22" t="s">
        <v>312</v>
      </c>
      <c r="G8" s="405" t="s">
        <v>134</v>
      </c>
      <c r="H8" s="406"/>
      <c r="I8" s="399" t="s">
        <v>311</v>
      </c>
      <c r="J8" s="399" t="s">
        <v>312</v>
      </c>
      <c r="K8" s="407" t="s">
        <v>135</v>
      </c>
      <c r="L8" s="408"/>
      <c r="M8" s="674" t="s">
        <v>136</v>
      </c>
      <c r="N8" s="676"/>
      <c r="O8" s="690" t="s">
        <v>137</v>
      </c>
      <c r="P8" s="692"/>
      <c r="Q8" s="22" t="s">
        <v>311</v>
      </c>
      <c r="R8" s="22" t="s">
        <v>312</v>
      </c>
      <c r="S8" s="674" t="s">
        <v>291</v>
      </c>
      <c r="T8" s="676"/>
      <c r="U8" s="713" t="s">
        <v>326</v>
      </c>
      <c r="V8" s="714"/>
      <c r="W8" s="402"/>
      <c r="X8" s="402"/>
      <c r="Y8" s="402"/>
      <c r="Z8" s="402"/>
      <c r="AA8" s="402"/>
      <c r="AB8" s="402"/>
      <c r="AC8" s="402"/>
      <c r="AD8" s="402"/>
      <c r="AE8" s="402"/>
      <c r="AF8" s="402"/>
      <c r="AG8" s="402"/>
      <c r="AH8" s="402"/>
      <c r="AI8" s="402"/>
      <c r="AJ8" s="402"/>
      <c r="AK8" s="402"/>
      <c r="AL8" s="402"/>
      <c r="AM8" s="402"/>
      <c r="AN8" s="402"/>
    </row>
    <row r="9" spans="1:40" ht="15">
      <c r="A9" s="400">
        <f>CalcoloA!D9</f>
        <v>36</v>
      </c>
      <c r="B9" s="400">
        <f>CalcoloA!E9</f>
        <v>11</v>
      </c>
      <c r="C9" s="705">
        <f>CalcoloA!E10</f>
        <v>0.7445000000000002</v>
      </c>
      <c r="D9" s="706"/>
      <c r="E9" s="404">
        <f>CalcoloA!D20</f>
        <v>17</v>
      </c>
      <c r="F9" s="404">
        <f>CalcoloA!E20</f>
        <v>11</v>
      </c>
      <c r="G9" s="707">
        <f>CalcoloA!D21</f>
        <v>0.4025</v>
      </c>
      <c r="H9" s="708"/>
      <c r="I9" s="400">
        <f>CalcoloA!D28</f>
        <v>22</v>
      </c>
      <c r="J9" s="400">
        <f>CalcoloA!E28</f>
        <v>11</v>
      </c>
      <c r="K9" s="705">
        <f>CalcoloA!E29</f>
        <v>0.4925</v>
      </c>
      <c r="L9" s="706"/>
      <c r="M9" s="707">
        <f>CalcoloA!E30</f>
        <v>0.08999999999999997</v>
      </c>
      <c r="N9" s="708"/>
      <c r="O9" s="711">
        <f>CalcoloA!E35</f>
        <v>0.25200000000000017</v>
      </c>
      <c r="P9" s="712"/>
      <c r="Q9" s="432">
        <f>CalcoloA!D41</f>
        <v>65</v>
      </c>
      <c r="R9" s="432">
        <f>CalcoloA!E41</f>
        <v>6</v>
      </c>
      <c r="S9" s="709">
        <f>CalcoloA!D47</f>
        <v>5.4159999999999995</v>
      </c>
      <c r="T9" s="710"/>
      <c r="U9" s="713" t="s">
        <v>290</v>
      </c>
      <c r="V9" s="714"/>
      <c r="W9" s="403"/>
      <c r="X9" s="403"/>
      <c r="Y9" s="403"/>
      <c r="Z9" s="403"/>
      <c r="AA9" s="403"/>
      <c r="AB9" s="403"/>
      <c r="AC9" s="403"/>
      <c r="AD9" s="403"/>
      <c r="AE9" s="403"/>
      <c r="AF9" s="403"/>
      <c r="AG9" s="403"/>
      <c r="AH9" s="403"/>
      <c r="AI9" s="403"/>
      <c r="AJ9" s="403"/>
      <c r="AK9" s="403"/>
      <c r="AL9" s="403"/>
      <c r="AM9" s="403"/>
      <c r="AN9" s="403"/>
    </row>
    <row r="10" spans="1:40" ht="12.75">
      <c r="A10" s="431" t="s">
        <v>350</v>
      </c>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row>
    <row r="11" spans="1:40" ht="12">
      <c r="A11" s="696" t="s">
        <v>138</v>
      </c>
      <c r="B11" s="697"/>
      <c r="C11" s="697"/>
      <c r="D11" s="698"/>
      <c r="E11" s="684" t="s">
        <v>327</v>
      </c>
      <c r="F11" s="685"/>
      <c r="G11" s="685"/>
      <c r="H11" s="686"/>
      <c r="I11" s="696" t="s">
        <v>292</v>
      </c>
      <c r="J11" s="697"/>
      <c r="K11" s="697"/>
      <c r="L11" s="698"/>
      <c r="M11" s="684" t="s">
        <v>336</v>
      </c>
      <c r="N11" s="685"/>
      <c r="O11" s="685"/>
      <c r="P11" s="686"/>
      <c r="Q11" s="696" t="s">
        <v>342</v>
      </c>
      <c r="R11" s="697"/>
      <c r="S11" s="697"/>
      <c r="T11" s="698"/>
      <c r="U11" s="684" t="s">
        <v>346</v>
      </c>
      <c r="V11" s="685"/>
      <c r="W11" s="685"/>
      <c r="X11" s="686"/>
      <c r="Y11" s="402"/>
      <c r="Z11" s="402"/>
      <c r="AA11" s="402"/>
      <c r="AB11" s="402"/>
      <c r="AC11" s="402"/>
      <c r="AD11" s="402"/>
      <c r="AE11" s="402"/>
      <c r="AF11" s="402"/>
      <c r="AG11" s="402"/>
      <c r="AH11" s="402"/>
      <c r="AI11" s="402"/>
      <c r="AJ11" s="402"/>
      <c r="AK11" s="402"/>
      <c r="AL11" s="402"/>
      <c r="AM11" s="402"/>
      <c r="AN11" s="402"/>
    </row>
    <row r="12" spans="1:40" ht="12">
      <c r="A12" s="699" t="s">
        <v>139</v>
      </c>
      <c r="B12" s="700"/>
      <c r="C12" s="700"/>
      <c r="D12" s="701"/>
      <c r="E12" s="423"/>
      <c r="F12" s="424"/>
      <c r="G12" s="424"/>
      <c r="H12" s="136"/>
      <c r="I12" s="699" t="s">
        <v>332</v>
      </c>
      <c r="J12" s="700"/>
      <c r="K12" s="700"/>
      <c r="L12" s="701"/>
      <c r="M12" s="687" t="s">
        <v>337</v>
      </c>
      <c r="N12" s="688"/>
      <c r="O12" s="688"/>
      <c r="P12" s="689"/>
      <c r="Q12" s="699" t="s">
        <v>337</v>
      </c>
      <c r="R12" s="700"/>
      <c r="S12" s="700"/>
      <c r="T12" s="701"/>
      <c r="U12" s="687" t="s">
        <v>337</v>
      </c>
      <c r="V12" s="688"/>
      <c r="W12" s="688"/>
      <c r="X12" s="689"/>
      <c r="Y12" s="402"/>
      <c r="Z12" s="402"/>
      <c r="AA12" s="402"/>
      <c r="AB12" s="402"/>
      <c r="AC12" s="402"/>
      <c r="AD12" s="402"/>
      <c r="AE12" s="402"/>
      <c r="AF12" s="402"/>
      <c r="AG12" s="402"/>
      <c r="AH12" s="402"/>
      <c r="AI12" s="402"/>
      <c r="AJ12" s="402"/>
      <c r="AK12" s="402"/>
      <c r="AL12" s="402"/>
      <c r="AM12" s="402"/>
      <c r="AN12" s="402"/>
    </row>
    <row r="13" spans="1:40" ht="12">
      <c r="A13" s="674">
        <v>1</v>
      </c>
      <c r="B13" s="675"/>
      <c r="C13" s="675"/>
      <c r="D13" s="676"/>
      <c r="E13" s="690" t="s">
        <v>328</v>
      </c>
      <c r="F13" s="691"/>
      <c r="G13" s="691"/>
      <c r="H13" s="692"/>
      <c r="I13" s="674" t="s">
        <v>304</v>
      </c>
      <c r="J13" s="675"/>
      <c r="K13" s="675"/>
      <c r="L13" s="676"/>
      <c r="M13" s="690" t="s">
        <v>338</v>
      </c>
      <c r="N13" s="691"/>
      <c r="O13" s="691"/>
      <c r="P13" s="692"/>
      <c r="Q13" s="674" t="s">
        <v>343</v>
      </c>
      <c r="R13" s="675"/>
      <c r="S13" s="675"/>
      <c r="T13" s="676"/>
      <c r="U13" s="690" t="s">
        <v>347</v>
      </c>
      <c r="V13" s="691"/>
      <c r="W13" s="691"/>
      <c r="X13" s="692"/>
      <c r="Y13" s="402"/>
      <c r="Z13" s="402"/>
      <c r="AA13" s="402"/>
      <c r="AB13" s="402"/>
      <c r="AC13" s="402"/>
      <c r="AD13" s="402"/>
      <c r="AE13" s="402"/>
      <c r="AF13" s="402"/>
      <c r="AG13" s="402"/>
      <c r="AH13" s="402"/>
      <c r="AI13" s="402"/>
      <c r="AJ13" s="402"/>
      <c r="AK13" s="402"/>
      <c r="AL13" s="402"/>
      <c r="AM13" s="402"/>
      <c r="AN13" s="402"/>
    </row>
    <row r="14" spans="1:40" ht="15">
      <c r="A14" s="417"/>
      <c r="B14" s="418"/>
      <c r="C14" s="418"/>
      <c r="D14" s="419"/>
      <c r="E14" s="715">
        <f>CalcoloA!F26</f>
        <v>31273.02461958101</v>
      </c>
      <c r="F14" s="716"/>
      <c r="G14" s="716"/>
      <c r="H14" s="717"/>
      <c r="I14" s="417"/>
      <c r="J14" s="418"/>
      <c r="K14" s="418"/>
      <c r="L14" s="419"/>
      <c r="M14" s="409"/>
      <c r="N14" s="410"/>
      <c r="O14" s="410"/>
      <c r="P14" s="411"/>
      <c r="Q14" s="417"/>
      <c r="R14" s="418"/>
      <c r="S14" s="418"/>
      <c r="T14" s="419"/>
      <c r="U14" s="409"/>
      <c r="V14" s="410"/>
      <c r="W14" s="410"/>
      <c r="X14" s="411"/>
      <c r="Y14" s="403"/>
      <c r="Z14" s="403"/>
      <c r="AA14" s="403"/>
      <c r="AB14" s="403"/>
      <c r="AC14" s="403"/>
      <c r="AD14" s="403"/>
      <c r="AE14" s="403"/>
      <c r="AF14" s="403"/>
      <c r="AG14" s="403"/>
      <c r="AH14" s="403"/>
      <c r="AI14" s="403"/>
      <c r="AJ14" s="403"/>
      <c r="AK14" s="403"/>
      <c r="AL14" s="403"/>
      <c r="AM14" s="403"/>
      <c r="AN14" s="403"/>
    </row>
    <row r="15" spans="1:40" ht="15">
      <c r="A15" s="681">
        <f>CalcoloA!F18</f>
        <v>30826.321399999997</v>
      </c>
      <c r="B15" s="682"/>
      <c r="C15" s="682"/>
      <c r="D15" s="683"/>
      <c r="E15" s="425"/>
      <c r="F15" s="426"/>
      <c r="G15" s="426"/>
      <c r="H15" s="427"/>
      <c r="I15" s="681">
        <f>CalcoloA!F46</f>
        <v>60543.48006114382</v>
      </c>
      <c r="J15" s="682"/>
      <c r="K15" s="682"/>
      <c r="L15" s="683"/>
      <c r="M15" s="693">
        <f>CalcoloA!F23</f>
        <v>12407.5943635</v>
      </c>
      <c r="N15" s="694"/>
      <c r="O15" s="694"/>
      <c r="P15" s="695"/>
      <c r="Q15" s="681">
        <f>CalcoloA!F37</f>
        <v>10695.37441989671</v>
      </c>
      <c r="R15" s="682"/>
      <c r="S15" s="682"/>
      <c r="T15" s="683"/>
      <c r="U15" s="693">
        <f>CalcoloA!F48</f>
        <v>3026.8014277952757</v>
      </c>
      <c r="V15" s="694"/>
      <c r="W15" s="694"/>
      <c r="X15" s="695"/>
      <c r="Y15" s="403"/>
      <c r="Z15" s="403"/>
      <c r="AA15" s="403"/>
      <c r="AB15" s="403"/>
      <c r="AC15" s="403"/>
      <c r="AD15" s="403"/>
      <c r="AE15" s="403"/>
      <c r="AF15" s="403"/>
      <c r="AG15" s="403"/>
      <c r="AH15" s="403"/>
      <c r="AI15" s="403"/>
      <c r="AJ15" s="403"/>
      <c r="AK15" s="403"/>
      <c r="AL15" s="403"/>
      <c r="AM15" s="403"/>
      <c r="AN15" s="403"/>
    </row>
    <row r="16" spans="1:40" ht="15">
      <c r="A16" s="420"/>
      <c r="B16" s="421"/>
      <c r="C16" s="421"/>
      <c r="D16" s="422"/>
      <c r="E16" s="718">
        <f>CalcoloA!F34</f>
        <v>31273.02461958101</v>
      </c>
      <c r="F16" s="719"/>
      <c r="G16" s="719"/>
      <c r="H16" s="720"/>
      <c r="I16" s="420"/>
      <c r="J16" s="421"/>
      <c r="K16" s="421"/>
      <c r="L16" s="422"/>
      <c r="M16" s="412"/>
      <c r="N16" s="413"/>
      <c r="O16" s="413"/>
      <c r="P16" s="414"/>
      <c r="Q16" s="420"/>
      <c r="R16" s="421"/>
      <c r="S16" s="421"/>
      <c r="T16" s="422"/>
      <c r="U16" s="412"/>
      <c r="V16" s="413"/>
      <c r="W16" s="413"/>
      <c r="X16" s="414"/>
      <c r="Y16" s="403"/>
      <c r="Z16" s="403"/>
      <c r="AA16" s="403"/>
      <c r="AB16" s="403"/>
      <c r="AC16" s="403"/>
      <c r="AD16" s="403"/>
      <c r="AE16" s="403"/>
      <c r="AF16" s="403"/>
      <c r="AG16" s="403"/>
      <c r="AH16" s="403"/>
      <c r="AI16" s="403"/>
      <c r="AJ16" s="403"/>
      <c r="AK16" s="403"/>
      <c r="AL16" s="403"/>
      <c r="AM16" s="403"/>
      <c r="AN16" s="403"/>
    </row>
    <row r="17" spans="1:40" ht="12.75">
      <c r="A17" s="402"/>
      <c r="B17" s="402"/>
      <c r="C17" s="402"/>
      <c r="D17" s="402"/>
      <c r="E17" s="431" t="s">
        <v>351</v>
      </c>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row>
    <row r="18" spans="1:40" ht="12">
      <c r="A18" s="401"/>
      <c r="B18" s="402"/>
      <c r="C18" s="402"/>
      <c r="D18" s="402"/>
      <c r="E18" s="696" t="s">
        <v>329</v>
      </c>
      <c r="F18" s="697"/>
      <c r="G18" s="697"/>
      <c r="H18" s="698"/>
      <c r="I18" s="684" t="s">
        <v>335</v>
      </c>
      <c r="J18" s="685"/>
      <c r="K18" s="685"/>
      <c r="L18" s="686"/>
      <c r="M18" s="696" t="s">
        <v>334</v>
      </c>
      <c r="N18" s="697"/>
      <c r="O18" s="697"/>
      <c r="P18" s="698"/>
      <c r="Q18" s="684" t="s">
        <v>344</v>
      </c>
      <c r="R18" s="685"/>
      <c r="S18" s="685"/>
      <c r="T18" s="686"/>
      <c r="U18" s="696" t="s">
        <v>330</v>
      </c>
      <c r="V18" s="697"/>
      <c r="W18" s="697"/>
      <c r="X18" s="698"/>
      <c r="Y18" s="402"/>
      <c r="Z18" s="402"/>
      <c r="AA18" s="402"/>
      <c r="AB18" s="402"/>
      <c r="AC18" s="402"/>
      <c r="AD18" s="402"/>
      <c r="AE18" s="402"/>
      <c r="AF18" s="402"/>
      <c r="AG18" s="402"/>
      <c r="AH18" s="402"/>
      <c r="AI18" s="402"/>
      <c r="AJ18" s="402"/>
      <c r="AK18" s="402"/>
      <c r="AL18" s="402"/>
      <c r="AM18" s="402"/>
      <c r="AN18" s="402"/>
    </row>
    <row r="19" spans="1:40" ht="12">
      <c r="A19" s="401"/>
      <c r="B19" s="402"/>
      <c r="C19" s="402"/>
      <c r="D19" s="402"/>
      <c r="E19" s="699" t="s">
        <v>330</v>
      </c>
      <c r="F19" s="700"/>
      <c r="G19" s="700"/>
      <c r="H19" s="701"/>
      <c r="I19" s="687" t="s">
        <v>334</v>
      </c>
      <c r="J19" s="688"/>
      <c r="K19" s="688"/>
      <c r="L19" s="689"/>
      <c r="M19" s="699" t="s">
        <v>339</v>
      </c>
      <c r="N19" s="700"/>
      <c r="O19" s="700"/>
      <c r="P19" s="701"/>
      <c r="Q19" s="687" t="s">
        <v>345</v>
      </c>
      <c r="R19" s="688"/>
      <c r="S19" s="688"/>
      <c r="T19" s="689"/>
      <c r="U19" s="699" t="s">
        <v>348</v>
      </c>
      <c r="V19" s="700"/>
      <c r="W19" s="700"/>
      <c r="X19" s="701"/>
      <c r="Y19" s="402"/>
      <c r="Z19" s="402"/>
      <c r="AA19" s="402"/>
      <c r="AB19" s="402"/>
      <c r="AC19" s="402"/>
      <c r="AD19" s="402"/>
      <c r="AE19" s="402"/>
      <c r="AF19" s="402"/>
      <c r="AG19" s="402"/>
      <c r="AH19" s="402"/>
      <c r="AI19" s="402"/>
      <c r="AJ19" s="402"/>
      <c r="AK19" s="402"/>
      <c r="AL19" s="402"/>
      <c r="AM19" s="402"/>
      <c r="AN19" s="402"/>
    </row>
    <row r="20" spans="1:40" ht="12">
      <c r="A20" s="401"/>
      <c r="B20" s="402"/>
      <c r="C20" s="402"/>
      <c r="D20" s="402"/>
      <c r="E20" s="674" t="s">
        <v>331</v>
      </c>
      <c r="F20" s="675"/>
      <c r="G20" s="675"/>
      <c r="H20" s="676"/>
      <c r="I20" s="690" t="s">
        <v>333</v>
      </c>
      <c r="J20" s="691"/>
      <c r="K20" s="691"/>
      <c r="L20" s="692"/>
      <c r="M20" s="674" t="s">
        <v>341</v>
      </c>
      <c r="N20" s="675"/>
      <c r="O20" s="675"/>
      <c r="P20" s="676"/>
      <c r="Q20" s="690" t="s">
        <v>340</v>
      </c>
      <c r="R20" s="691"/>
      <c r="S20" s="691"/>
      <c r="T20" s="692"/>
      <c r="U20" s="674" t="s">
        <v>303</v>
      </c>
      <c r="V20" s="675"/>
      <c r="W20" s="675"/>
      <c r="X20" s="676"/>
      <c r="Y20" s="402"/>
      <c r="Z20" s="402"/>
      <c r="AA20" s="402"/>
      <c r="AB20" s="402"/>
      <c r="AC20" s="402"/>
      <c r="AD20" s="402"/>
      <c r="AE20" s="402"/>
      <c r="AF20" s="402"/>
      <c r="AG20" s="402"/>
      <c r="AH20" s="402"/>
      <c r="AI20" s="402"/>
      <c r="AJ20" s="402"/>
      <c r="AK20" s="402"/>
      <c r="AL20" s="402"/>
      <c r="AM20" s="402"/>
      <c r="AN20" s="402"/>
    </row>
    <row r="21" spans="1:40" ht="15">
      <c r="A21" s="401"/>
      <c r="B21" s="402"/>
      <c r="C21" s="402"/>
      <c r="D21" s="402"/>
      <c r="E21" s="417"/>
      <c r="F21" s="418"/>
      <c r="G21" s="418"/>
      <c r="H21" s="419"/>
      <c r="I21" s="428"/>
      <c r="J21" s="429"/>
      <c r="K21" s="429"/>
      <c r="L21" s="430"/>
      <c r="M21" s="150"/>
      <c r="N21" s="151"/>
      <c r="O21" s="151"/>
      <c r="P21" s="152"/>
      <c r="Q21" s="428"/>
      <c r="R21" s="429"/>
      <c r="S21" s="429"/>
      <c r="T21" s="430"/>
      <c r="U21" s="150"/>
      <c r="V21" s="151"/>
      <c r="W21" s="151"/>
      <c r="X21" s="152"/>
      <c r="Y21" s="402"/>
      <c r="Z21" s="402"/>
      <c r="AA21" s="402"/>
      <c r="AB21" s="402"/>
      <c r="AC21" s="402"/>
      <c r="AD21" s="402"/>
      <c r="AE21" s="402"/>
      <c r="AF21" s="402"/>
      <c r="AG21" s="402"/>
      <c r="AH21" s="402"/>
      <c r="AI21" s="402"/>
      <c r="AJ21" s="402"/>
      <c r="AK21" s="402"/>
      <c r="AL21" s="402"/>
      <c r="AM21" s="402"/>
      <c r="AN21" s="402"/>
    </row>
    <row r="22" spans="1:40" ht="15">
      <c r="A22" s="401"/>
      <c r="B22" s="402"/>
      <c r="C22" s="402"/>
      <c r="D22" s="402"/>
      <c r="E22" s="681">
        <f>M15+Q15</f>
        <v>23102.96878339671</v>
      </c>
      <c r="F22" s="682"/>
      <c r="G22" s="682"/>
      <c r="H22" s="683"/>
      <c r="I22" s="702">
        <f>CalcoloA!D42</f>
        <v>0</v>
      </c>
      <c r="J22" s="703"/>
      <c r="K22" s="703"/>
      <c r="L22" s="704"/>
      <c r="M22" s="681">
        <f>CalcoloA!F43</f>
        <v>23102.96878339671</v>
      </c>
      <c r="N22" s="682"/>
      <c r="O22" s="682"/>
      <c r="P22" s="683"/>
      <c r="Q22" s="693">
        <f>M22+U15</f>
        <v>26129.770211191986</v>
      </c>
      <c r="R22" s="694"/>
      <c r="S22" s="694"/>
      <c r="T22" s="695"/>
      <c r="U22" s="677">
        <f>Q22</f>
        <v>26129.770211191986</v>
      </c>
      <c r="V22" s="678"/>
      <c r="W22" s="678"/>
      <c r="X22" s="679"/>
      <c r="Y22" s="402"/>
      <c r="Z22" s="402"/>
      <c r="AA22" s="402"/>
      <c r="AB22" s="402"/>
      <c r="AC22" s="402"/>
      <c r="AD22" s="402"/>
      <c r="AE22" s="402"/>
      <c r="AF22" s="402"/>
      <c r="AG22" s="402"/>
      <c r="AH22" s="402"/>
      <c r="AI22" s="402"/>
      <c r="AJ22" s="402"/>
      <c r="AK22" s="402"/>
      <c r="AL22" s="402"/>
      <c r="AM22" s="402"/>
      <c r="AN22" s="402"/>
    </row>
    <row r="23" spans="1:40" ht="15">
      <c r="A23" s="401"/>
      <c r="B23" s="402"/>
      <c r="C23" s="402"/>
      <c r="D23" s="402"/>
      <c r="E23" s="420"/>
      <c r="F23" s="421"/>
      <c r="G23" s="421"/>
      <c r="H23" s="422"/>
      <c r="I23" s="423"/>
      <c r="J23" s="424"/>
      <c r="K23" s="424"/>
      <c r="L23" s="136"/>
      <c r="M23" s="415"/>
      <c r="N23" s="416"/>
      <c r="O23" s="416"/>
      <c r="P23" s="317"/>
      <c r="Q23" s="423"/>
      <c r="R23" s="424"/>
      <c r="S23" s="424"/>
      <c r="T23" s="136"/>
      <c r="U23" s="415"/>
      <c r="V23" s="416"/>
      <c r="W23" s="416"/>
      <c r="X23" s="317"/>
      <c r="Y23" s="402"/>
      <c r="Z23" s="402"/>
      <c r="AA23" s="402"/>
      <c r="AB23" s="402"/>
      <c r="AC23" s="402"/>
      <c r="AD23" s="402"/>
      <c r="AE23" s="402"/>
      <c r="AF23" s="402"/>
      <c r="AG23" s="402"/>
      <c r="AH23" s="402"/>
      <c r="AI23" s="402"/>
      <c r="AJ23" s="402"/>
      <c r="AK23" s="402"/>
      <c r="AL23" s="402"/>
      <c r="AM23" s="402"/>
      <c r="AN23" s="402"/>
    </row>
    <row r="24" spans="1:40" ht="12">
      <c r="A24" s="401"/>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row>
    <row r="25" spans="1:40" ht="12">
      <c r="A25" s="401"/>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row>
    <row r="26" spans="1:40" ht="12">
      <c r="A26" s="465"/>
      <c r="B26" s="466"/>
      <c r="C26" s="466"/>
      <c r="D26" s="466"/>
      <c r="E26" s="466"/>
      <c r="F26" s="466"/>
      <c r="G26" s="466" t="s">
        <v>352</v>
      </c>
      <c r="H26" s="466"/>
      <c r="I26" s="466"/>
      <c r="J26" s="466"/>
      <c r="K26" s="466"/>
      <c r="L26" s="466"/>
      <c r="M26" s="466"/>
      <c r="N26" s="466"/>
      <c r="O26" s="466"/>
      <c r="P26" s="466"/>
      <c r="Q26" s="466"/>
      <c r="R26" s="466"/>
      <c r="S26" s="466"/>
      <c r="T26" s="466"/>
      <c r="U26" s="466"/>
      <c r="V26" s="466"/>
      <c r="W26" s="466"/>
      <c r="X26" s="466"/>
      <c r="Y26" s="402"/>
      <c r="Z26" s="402"/>
      <c r="AA26" s="402"/>
      <c r="AB26" s="402"/>
      <c r="AC26" s="402"/>
      <c r="AD26" s="402"/>
      <c r="AE26" s="402"/>
      <c r="AF26" s="402"/>
      <c r="AG26" s="402"/>
      <c r="AH26" s="402"/>
      <c r="AI26" s="402"/>
      <c r="AJ26" s="402"/>
      <c r="AK26" s="402"/>
      <c r="AL26" s="402"/>
      <c r="AM26" s="402"/>
      <c r="AN26" s="402"/>
    </row>
    <row r="27" spans="1:40" ht="12.75">
      <c r="A27" s="467" t="s">
        <v>349</v>
      </c>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02"/>
      <c r="Z27" s="402"/>
      <c r="AA27" s="402"/>
      <c r="AB27" s="402"/>
      <c r="AC27" s="402"/>
      <c r="AD27" s="402"/>
      <c r="AE27" s="402"/>
      <c r="AF27" s="402"/>
      <c r="AG27" s="402"/>
      <c r="AH27" s="402"/>
      <c r="AI27" s="402"/>
      <c r="AJ27" s="402"/>
      <c r="AK27" s="402"/>
      <c r="AL27" s="402"/>
      <c r="AM27" s="402"/>
      <c r="AN27" s="402"/>
    </row>
    <row r="28" spans="1:40" ht="12">
      <c r="A28" s="465" t="s">
        <v>354</v>
      </c>
      <c r="B28" s="680" t="s">
        <v>353</v>
      </c>
      <c r="C28" s="680"/>
      <c r="D28" s="466" t="s">
        <v>355</v>
      </c>
      <c r="E28" s="466"/>
      <c r="F28" s="466"/>
      <c r="G28" s="466"/>
      <c r="H28" s="466"/>
      <c r="I28" s="466"/>
      <c r="J28" s="466"/>
      <c r="K28" s="466"/>
      <c r="L28" s="466"/>
      <c r="M28" s="466"/>
      <c r="N28" s="466"/>
      <c r="O28" s="466"/>
      <c r="P28" s="466"/>
      <c r="Q28" s="466"/>
      <c r="R28" s="466"/>
      <c r="S28" s="466"/>
      <c r="T28" s="466"/>
      <c r="U28" s="466"/>
      <c r="V28" s="466"/>
      <c r="W28" s="466"/>
      <c r="X28" s="466"/>
      <c r="Y28" s="402"/>
      <c r="Z28" s="402"/>
      <c r="AA28" s="402"/>
      <c r="AB28" s="402"/>
      <c r="AC28" s="402"/>
      <c r="AD28" s="402"/>
      <c r="AE28" s="402"/>
      <c r="AF28" s="402"/>
      <c r="AG28" s="402"/>
      <c r="AH28" s="402"/>
      <c r="AI28" s="402"/>
      <c r="AJ28" s="402"/>
      <c r="AK28" s="402"/>
      <c r="AL28" s="402"/>
      <c r="AM28" s="402"/>
      <c r="AN28" s="402"/>
    </row>
    <row r="29" spans="1:40" ht="12">
      <c r="A29" s="465" t="s">
        <v>354</v>
      </c>
      <c r="B29" s="680" t="s">
        <v>356</v>
      </c>
      <c r="C29" s="680"/>
      <c r="D29" s="466" t="s">
        <v>357</v>
      </c>
      <c r="E29" s="466"/>
      <c r="F29" s="466"/>
      <c r="G29" s="466"/>
      <c r="H29" s="466"/>
      <c r="I29" s="466"/>
      <c r="J29" s="466"/>
      <c r="K29" s="466"/>
      <c r="L29" s="466"/>
      <c r="M29" s="466"/>
      <c r="N29" s="466"/>
      <c r="O29" s="466"/>
      <c r="P29" s="466"/>
      <c r="Q29" s="466"/>
      <c r="R29" s="466"/>
      <c r="S29" s="466"/>
      <c r="T29" s="466"/>
      <c r="U29" s="466"/>
      <c r="V29" s="466"/>
      <c r="W29" s="466"/>
      <c r="X29" s="466"/>
      <c r="Y29" s="402"/>
      <c r="Z29" s="402"/>
      <c r="AA29" s="402"/>
      <c r="AB29" s="402"/>
      <c r="AC29" s="402"/>
      <c r="AD29" s="402"/>
      <c r="AE29" s="402"/>
      <c r="AF29" s="402"/>
      <c r="AG29" s="402"/>
      <c r="AH29" s="402"/>
      <c r="AI29" s="402"/>
      <c r="AJ29" s="402"/>
      <c r="AK29" s="402"/>
      <c r="AL29" s="402"/>
      <c r="AM29" s="402"/>
      <c r="AN29" s="402"/>
    </row>
    <row r="30" spans="1:40" ht="12">
      <c r="A30" s="465" t="s">
        <v>354</v>
      </c>
      <c r="B30" s="680" t="s">
        <v>358</v>
      </c>
      <c r="C30" s="680"/>
      <c r="D30" s="466" t="s">
        <v>359</v>
      </c>
      <c r="E30" s="466"/>
      <c r="F30" s="466"/>
      <c r="G30" s="466"/>
      <c r="H30" s="466"/>
      <c r="I30" s="466"/>
      <c r="J30" s="466"/>
      <c r="K30" s="466"/>
      <c r="L30" s="466"/>
      <c r="M30" s="466"/>
      <c r="N30" s="466"/>
      <c r="O30" s="466"/>
      <c r="P30" s="466"/>
      <c r="Q30" s="466"/>
      <c r="R30" s="466"/>
      <c r="S30" s="466"/>
      <c r="T30" s="466"/>
      <c r="U30" s="466"/>
      <c r="V30" s="466"/>
      <c r="W30" s="466"/>
      <c r="X30" s="466"/>
      <c r="Y30" s="402"/>
      <c r="Z30" s="402"/>
      <c r="AA30" s="402"/>
      <c r="AB30" s="402"/>
      <c r="AC30" s="402"/>
      <c r="AD30" s="402"/>
      <c r="AE30" s="402"/>
      <c r="AF30" s="402"/>
      <c r="AG30" s="402"/>
      <c r="AH30" s="402"/>
      <c r="AI30" s="402"/>
      <c r="AJ30" s="402"/>
      <c r="AK30" s="402"/>
      <c r="AL30" s="402"/>
      <c r="AM30" s="402"/>
      <c r="AN30" s="402"/>
    </row>
    <row r="31" spans="1:40" ht="12">
      <c r="A31" s="465" t="s">
        <v>354</v>
      </c>
      <c r="B31" s="680" t="s">
        <v>360</v>
      </c>
      <c r="C31" s="680"/>
      <c r="D31" s="466" t="s">
        <v>361</v>
      </c>
      <c r="E31" s="466"/>
      <c r="F31" s="466"/>
      <c r="G31" s="466"/>
      <c r="H31" s="466"/>
      <c r="I31" s="466"/>
      <c r="J31" s="466"/>
      <c r="K31" s="466"/>
      <c r="L31" s="466"/>
      <c r="M31" s="466"/>
      <c r="N31" s="466"/>
      <c r="O31" s="466"/>
      <c r="P31" s="466"/>
      <c r="Q31" s="466"/>
      <c r="R31" s="466"/>
      <c r="S31" s="466"/>
      <c r="T31" s="466"/>
      <c r="U31" s="466"/>
      <c r="V31" s="466"/>
      <c r="W31" s="466"/>
      <c r="X31" s="466"/>
      <c r="Y31" s="402"/>
      <c r="Z31" s="402"/>
      <c r="AA31" s="402"/>
      <c r="AB31" s="402"/>
      <c r="AC31" s="402"/>
      <c r="AD31" s="402"/>
      <c r="AE31" s="402"/>
      <c r="AF31" s="402"/>
      <c r="AG31" s="402"/>
      <c r="AH31" s="402"/>
      <c r="AI31" s="402"/>
      <c r="AJ31" s="402"/>
      <c r="AK31" s="402"/>
      <c r="AL31" s="402"/>
      <c r="AM31" s="402"/>
      <c r="AN31" s="402"/>
    </row>
    <row r="32" spans="1:40" ht="12">
      <c r="A32" s="465" t="s">
        <v>354</v>
      </c>
      <c r="B32" s="680" t="s">
        <v>362</v>
      </c>
      <c r="C32" s="680"/>
      <c r="D32" s="466" t="s">
        <v>363</v>
      </c>
      <c r="E32" s="466"/>
      <c r="F32" s="466"/>
      <c r="G32" s="466"/>
      <c r="H32" s="466"/>
      <c r="I32" s="466"/>
      <c r="J32" s="466"/>
      <c r="K32" s="466"/>
      <c r="L32" s="466"/>
      <c r="M32" s="466"/>
      <c r="N32" s="466"/>
      <c r="O32" s="466"/>
      <c r="P32" s="466"/>
      <c r="Q32" s="466"/>
      <c r="R32" s="466"/>
      <c r="S32" s="466"/>
      <c r="T32" s="466"/>
      <c r="U32" s="466"/>
      <c r="V32" s="466"/>
      <c r="W32" s="466"/>
      <c r="X32" s="466"/>
      <c r="Y32" s="402"/>
      <c r="Z32" s="402"/>
      <c r="AA32" s="402"/>
      <c r="AB32" s="402"/>
      <c r="AC32" s="402"/>
      <c r="AD32" s="402"/>
      <c r="AE32" s="402"/>
      <c r="AF32" s="402"/>
      <c r="AG32" s="402"/>
      <c r="AH32" s="402"/>
      <c r="AI32" s="402"/>
      <c r="AJ32" s="402"/>
      <c r="AK32" s="402"/>
      <c r="AL32" s="402"/>
      <c r="AM32" s="402"/>
      <c r="AN32" s="402"/>
    </row>
    <row r="33" spans="1:40" ht="12">
      <c r="A33" s="465" t="s">
        <v>354</v>
      </c>
      <c r="B33" s="680" t="s">
        <v>364</v>
      </c>
      <c r="C33" s="680"/>
      <c r="D33" s="466" t="s">
        <v>386</v>
      </c>
      <c r="E33" s="466"/>
      <c r="F33" s="466"/>
      <c r="G33" s="466"/>
      <c r="H33" s="466"/>
      <c r="I33" s="466"/>
      <c r="J33" s="466"/>
      <c r="K33" s="466"/>
      <c r="L33" s="466"/>
      <c r="M33" s="466"/>
      <c r="N33" s="466"/>
      <c r="O33" s="466"/>
      <c r="P33" s="466"/>
      <c r="Q33" s="466"/>
      <c r="R33" s="466"/>
      <c r="S33" s="466"/>
      <c r="T33" s="466"/>
      <c r="U33" s="466"/>
      <c r="V33" s="466"/>
      <c r="W33" s="466"/>
      <c r="X33" s="466"/>
      <c r="Y33" s="402"/>
      <c r="Z33" s="402"/>
      <c r="AA33" s="402"/>
      <c r="AB33" s="402"/>
      <c r="AC33" s="402"/>
      <c r="AD33" s="402"/>
      <c r="AE33" s="402"/>
      <c r="AF33" s="402"/>
      <c r="AG33" s="402"/>
      <c r="AH33" s="402"/>
      <c r="AI33" s="402"/>
      <c r="AJ33" s="402"/>
      <c r="AK33" s="402"/>
      <c r="AL33" s="402"/>
      <c r="AM33" s="402"/>
      <c r="AN33" s="402"/>
    </row>
    <row r="34" spans="1:40" ht="12">
      <c r="A34" s="465"/>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02"/>
      <c r="Z34" s="402"/>
      <c r="AA34" s="402"/>
      <c r="AB34" s="402"/>
      <c r="AC34" s="402"/>
      <c r="AD34" s="402"/>
      <c r="AE34" s="402"/>
      <c r="AF34" s="402"/>
      <c r="AG34" s="402"/>
      <c r="AH34" s="402"/>
      <c r="AI34" s="402"/>
      <c r="AJ34" s="402"/>
      <c r="AK34" s="402"/>
      <c r="AL34" s="402"/>
      <c r="AM34" s="402"/>
      <c r="AN34" s="402"/>
    </row>
    <row r="35" spans="1:40" ht="12.75">
      <c r="A35" s="467" t="s">
        <v>350</v>
      </c>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02"/>
      <c r="Z35" s="402"/>
      <c r="AA35" s="402"/>
      <c r="AB35" s="402"/>
      <c r="AC35" s="402"/>
      <c r="AD35" s="402"/>
      <c r="AE35" s="402"/>
      <c r="AF35" s="402"/>
      <c r="AG35" s="402"/>
      <c r="AH35" s="402"/>
      <c r="AI35" s="402"/>
      <c r="AJ35" s="402"/>
      <c r="AK35" s="402"/>
      <c r="AL35" s="402"/>
      <c r="AM35" s="402"/>
      <c r="AN35" s="402"/>
    </row>
    <row r="36" spans="1:40" ht="12">
      <c r="A36" s="465" t="s">
        <v>354</v>
      </c>
      <c r="B36" s="680" t="s">
        <v>410</v>
      </c>
      <c r="C36" s="680"/>
      <c r="D36" s="466" t="s">
        <v>411</v>
      </c>
      <c r="E36" s="466"/>
      <c r="F36" s="466"/>
      <c r="G36" s="466"/>
      <c r="H36" s="466"/>
      <c r="I36" s="466"/>
      <c r="J36" s="466"/>
      <c r="K36" s="466"/>
      <c r="L36" s="466"/>
      <c r="M36" s="466"/>
      <c r="N36" s="466"/>
      <c r="O36" s="466"/>
      <c r="P36" s="466"/>
      <c r="Q36" s="466"/>
      <c r="R36" s="466"/>
      <c r="S36" s="466"/>
      <c r="T36" s="466"/>
      <c r="U36" s="466"/>
      <c r="V36" s="466"/>
      <c r="W36" s="466"/>
      <c r="X36" s="466"/>
      <c r="Y36" s="402"/>
      <c r="Z36" s="402"/>
      <c r="AA36" s="402"/>
      <c r="AB36" s="402"/>
      <c r="AC36" s="402"/>
      <c r="AD36" s="402"/>
      <c r="AE36" s="402"/>
      <c r="AF36" s="402"/>
      <c r="AG36" s="402"/>
      <c r="AH36" s="402"/>
      <c r="AI36" s="402"/>
      <c r="AJ36" s="402"/>
      <c r="AK36" s="402"/>
      <c r="AL36" s="402"/>
      <c r="AM36" s="402"/>
      <c r="AN36" s="402"/>
    </row>
    <row r="37" spans="1:40" ht="12">
      <c r="A37" s="465" t="s">
        <v>354</v>
      </c>
      <c r="B37" s="680" t="s">
        <v>412</v>
      </c>
      <c r="C37" s="680"/>
      <c r="D37" s="466" t="s">
        <v>413</v>
      </c>
      <c r="E37" s="466"/>
      <c r="F37" s="466"/>
      <c r="G37" s="466"/>
      <c r="H37" s="466"/>
      <c r="I37" s="466"/>
      <c r="J37" s="466"/>
      <c r="K37" s="466"/>
      <c r="L37" s="466"/>
      <c r="M37" s="466"/>
      <c r="N37" s="466"/>
      <c r="O37" s="466"/>
      <c r="P37" s="466"/>
      <c r="Q37" s="466"/>
      <c r="R37" s="466"/>
      <c r="S37" s="466"/>
      <c r="T37" s="466"/>
      <c r="U37" s="466"/>
      <c r="V37" s="466"/>
      <c r="W37" s="466"/>
      <c r="X37" s="466"/>
      <c r="Y37" s="402"/>
      <c r="Z37" s="402"/>
      <c r="AA37" s="402"/>
      <c r="AB37" s="402"/>
      <c r="AC37" s="402"/>
      <c r="AD37" s="402"/>
      <c r="AE37" s="402"/>
      <c r="AF37" s="402"/>
      <c r="AG37" s="402"/>
      <c r="AH37" s="402"/>
      <c r="AI37" s="402"/>
      <c r="AJ37" s="402"/>
      <c r="AK37" s="402"/>
      <c r="AL37" s="402"/>
      <c r="AM37" s="402"/>
      <c r="AN37" s="402"/>
    </row>
    <row r="38" spans="1:40" ht="12">
      <c r="A38" s="465" t="s">
        <v>354</v>
      </c>
      <c r="B38" s="680" t="s">
        <v>414</v>
      </c>
      <c r="C38" s="680"/>
      <c r="D38" s="466" t="s">
        <v>415</v>
      </c>
      <c r="E38" s="466"/>
      <c r="F38" s="466"/>
      <c r="G38" s="466"/>
      <c r="H38" s="466"/>
      <c r="I38" s="466"/>
      <c r="J38" s="466"/>
      <c r="K38" s="466"/>
      <c r="L38" s="466"/>
      <c r="M38" s="466"/>
      <c r="N38" s="466"/>
      <c r="O38" s="466"/>
      <c r="P38" s="466"/>
      <c r="Q38" s="466"/>
      <c r="R38" s="466"/>
      <c r="S38" s="466"/>
      <c r="T38" s="466"/>
      <c r="U38" s="466"/>
      <c r="V38" s="466"/>
      <c r="W38" s="466"/>
      <c r="X38" s="466"/>
      <c r="Y38" s="402"/>
      <c r="Z38" s="402"/>
      <c r="AA38" s="402"/>
      <c r="AB38" s="402"/>
      <c r="AC38" s="402"/>
      <c r="AD38" s="402"/>
      <c r="AE38" s="402"/>
      <c r="AF38" s="402"/>
      <c r="AG38" s="402"/>
      <c r="AH38" s="402"/>
      <c r="AI38" s="402"/>
      <c r="AJ38" s="402"/>
      <c r="AK38" s="402"/>
      <c r="AL38" s="402"/>
      <c r="AM38" s="402"/>
      <c r="AN38" s="402"/>
    </row>
    <row r="39" spans="1:40" ht="12">
      <c r="A39" s="465" t="s">
        <v>354</v>
      </c>
      <c r="B39" s="680" t="s">
        <v>416</v>
      </c>
      <c r="C39" s="680"/>
      <c r="D39" s="466" t="s">
        <v>417</v>
      </c>
      <c r="E39" s="466"/>
      <c r="F39" s="466"/>
      <c r="G39" s="466"/>
      <c r="H39" s="466"/>
      <c r="I39" s="466"/>
      <c r="J39" s="466"/>
      <c r="K39" s="466"/>
      <c r="L39" s="466"/>
      <c r="M39" s="466"/>
      <c r="N39" s="466"/>
      <c r="O39" s="466"/>
      <c r="P39" s="466"/>
      <c r="Q39" s="466"/>
      <c r="R39" s="466"/>
      <c r="S39" s="466"/>
      <c r="T39" s="466"/>
      <c r="U39" s="466"/>
      <c r="V39" s="466"/>
      <c r="W39" s="466"/>
      <c r="X39" s="466"/>
      <c r="Y39" s="402"/>
      <c r="Z39" s="402"/>
      <c r="AA39" s="402"/>
      <c r="AB39" s="402"/>
      <c r="AC39" s="402"/>
      <c r="AD39" s="402"/>
      <c r="AE39" s="402"/>
      <c r="AF39" s="402"/>
      <c r="AG39" s="402"/>
      <c r="AH39" s="402"/>
      <c r="AI39" s="402"/>
      <c r="AJ39" s="402"/>
      <c r="AK39" s="402"/>
      <c r="AL39" s="402"/>
      <c r="AM39" s="402"/>
      <c r="AN39" s="402"/>
    </row>
    <row r="40" spans="1:40" ht="12">
      <c r="A40" s="465" t="s">
        <v>354</v>
      </c>
      <c r="B40" s="680" t="s">
        <v>418</v>
      </c>
      <c r="C40" s="680"/>
      <c r="D40" s="466" t="s">
        <v>419</v>
      </c>
      <c r="E40" s="466"/>
      <c r="F40" s="466"/>
      <c r="G40" s="466"/>
      <c r="H40" s="466"/>
      <c r="I40" s="466"/>
      <c r="J40" s="466"/>
      <c r="K40" s="466"/>
      <c r="L40" s="466"/>
      <c r="M40" s="466"/>
      <c r="N40" s="466"/>
      <c r="O40" s="466"/>
      <c r="P40" s="466"/>
      <c r="Q40" s="466"/>
      <c r="R40" s="466"/>
      <c r="S40" s="466"/>
      <c r="T40" s="466"/>
      <c r="U40" s="466"/>
      <c r="V40" s="466"/>
      <c r="W40" s="466"/>
      <c r="X40" s="466"/>
      <c r="Y40" s="402"/>
      <c r="Z40" s="402"/>
      <c r="AA40" s="402"/>
      <c r="AB40" s="402"/>
      <c r="AC40" s="402"/>
      <c r="AD40" s="402"/>
      <c r="AE40" s="402"/>
      <c r="AF40" s="402"/>
      <c r="AG40" s="402"/>
      <c r="AH40" s="402"/>
      <c r="AI40" s="402"/>
      <c r="AJ40" s="402"/>
      <c r="AK40" s="402"/>
      <c r="AL40" s="402"/>
      <c r="AM40" s="402"/>
      <c r="AN40" s="402"/>
    </row>
    <row r="41" spans="1:40" ht="12">
      <c r="A41" s="465" t="s">
        <v>354</v>
      </c>
      <c r="B41" s="680" t="s">
        <v>420</v>
      </c>
      <c r="C41" s="680"/>
      <c r="D41" s="466" t="s">
        <v>421</v>
      </c>
      <c r="E41" s="466"/>
      <c r="F41" s="466"/>
      <c r="G41" s="466"/>
      <c r="H41" s="466"/>
      <c r="I41" s="466"/>
      <c r="J41" s="466"/>
      <c r="K41" s="466"/>
      <c r="L41" s="466"/>
      <c r="M41" s="466"/>
      <c r="N41" s="466"/>
      <c r="O41" s="466"/>
      <c r="P41" s="466"/>
      <c r="Q41" s="466"/>
      <c r="R41" s="466"/>
      <c r="S41" s="466"/>
      <c r="T41" s="466"/>
      <c r="U41" s="466"/>
      <c r="V41" s="466"/>
      <c r="W41" s="466"/>
      <c r="X41" s="466"/>
      <c r="Y41" s="402"/>
      <c r="Z41" s="402"/>
      <c r="AA41" s="402"/>
      <c r="AB41" s="402"/>
      <c r="AC41" s="402"/>
      <c r="AD41" s="402"/>
      <c r="AE41" s="402"/>
      <c r="AF41" s="402"/>
      <c r="AG41" s="402"/>
      <c r="AH41" s="402"/>
      <c r="AI41" s="402"/>
      <c r="AJ41" s="402"/>
      <c r="AK41" s="402"/>
      <c r="AL41" s="402"/>
      <c r="AM41" s="402"/>
      <c r="AN41" s="402"/>
    </row>
    <row r="42" spans="1:40" ht="12">
      <c r="A42" s="465"/>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02"/>
      <c r="Z42" s="402"/>
      <c r="AA42" s="402"/>
      <c r="AB42" s="402"/>
      <c r="AC42" s="402"/>
      <c r="AD42" s="402"/>
      <c r="AE42" s="402"/>
      <c r="AF42" s="402"/>
      <c r="AG42" s="402"/>
      <c r="AH42" s="402"/>
      <c r="AI42" s="402"/>
      <c r="AJ42" s="402"/>
      <c r="AK42" s="402"/>
      <c r="AL42" s="402"/>
      <c r="AM42" s="402"/>
      <c r="AN42" s="402"/>
    </row>
    <row r="43" spans="1:40" ht="12.75">
      <c r="A43" s="467" t="s">
        <v>351</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02"/>
      <c r="Z43" s="402"/>
      <c r="AA43" s="402"/>
      <c r="AB43" s="402"/>
      <c r="AC43" s="402"/>
      <c r="AD43" s="402"/>
      <c r="AE43" s="402"/>
      <c r="AF43" s="402"/>
      <c r="AG43" s="402"/>
      <c r="AH43" s="402"/>
      <c r="AI43" s="402"/>
      <c r="AJ43" s="402"/>
      <c r="AK43" s="402"/>
      <c r="AL43" s="402"/>
      <c r="AM43" s="402"/>
      <c r="AN43" s="402"/>
    </row>
    <row r="44" spans="1:40" ht="12">
      <c r="A44" s="465" t="s">
        <v>354</v>
      </c>
      <c r="B44" s="680" t="s">
        <v>422</v>
      </c>
      <c r="C44" s="680"/>
      <c r="D44" s="466" t="s">
        <v>423</v>
      </c>
      <c r="E44" s="466"/>
      <c r="F44" s="466"/>
      <c r="G44" s="466"/>
      <c r="H44" s="466"/>
      <c r="I44" s="466"/>
      <c r="J44" s="466"/>
      <c r="K44" s="466"/>
      <c r="L44" s="466"/>
      <c r="M44" s="466"/>
      <c r="N44" s="466"/>
      <c r="O44" s="466"/>
      <c r="P44" s="466"/>
      <c r="Q44" s="466"/>
      <c r="R44" s="466"/>
      <c r="S44" s="466"/>
      <c r="T44" s="466"/>
      <c r="U44" s="466"/>
      <c r="V44" s="466"/>
      <c r="W44" s="466"/>
      <c r="X44" s="466"/>
      <c r="Y44" s="402"/>
      <c r="Z44" s="402"/>
      <c r="AA44" s="402"/>
      <c r="AB44" s="402"/>
      <c r="AC44" s="402"/>
      <c r="AD44" s="402"/>
      <c r="AE44" s="402"/>
      <c r="AF44" s="402"/>
      <c r="AG44" s="402"/>
      <c r="AH44" s="402"/>
      <c r="AI44" s="402"/>
      <c r="AJ44" s="402"/>
      <c r="AK44" s="402"/>
      <c r="AL44" s="402"/>
      <c r="AM44" s="402"/>
      <c r="AN44" s="402"/>
    </row>
    <row r="45" spans="1:40" ht="12">
      <c r="A45" s="465" t="s">
        <v>354</v>
      </c>
      <c r="B45" s="680" t="s">
        <v>424</v>
      </c>
      <c r="C45" s="680"/>
      <c r="D45" s="466" t="s">
        <v>425</v>
      </c>
      <c r="E45" s="466"/>
      <c r="F45" s="466"/>
      <c r="G45" s="466"/>
      <c r="H45" s="466"/>
      <c r="I45" s="466"/>
      <c r="J45" s="466"/>
      <c r="K45" s="466"/>
      <c r="L45" s="466"/>
      <c r="M45" s="466"/>
      <c r="N45" s="466"/>
      <c r="O45" s="466"/>
      <c r="P45" s="466"/>
      <c r="Q45" s="466"/>
      <c r="R45" s="466"/>
      <c r="S45" s="466"/>
      <c r="T45" s="466"/>
      <c r="U45" s="466"/>
      <c r="V45" s="466"/>
      <c r="W45" s="466"/>
      <c r="X45" s="466"/>
      <c r="Y45" s="402"/>
      <c r="Z45" s="402"/>
      <c r="AA45" s="402"/>
      <c r="AB45" s="402"/>
      <c r="AC45" s="402"/>
      <c r="AD45" s="402"/>
      <c r="AE45" s="402"/>
      <c r="AF45" s="402"/>
      <c r="AG45" s="402"/>
      <c r="AH45" s="402"/>
      <c r="AI45" s="402"/>
      <c r="AJ45" s="402"/>
      <c r="AK45" s="402"/>
      <c r="AL45" s="402"/>
      <c r="AM45" s="402"/>
      <c r="AN45" s="402"/>
    </row>
    <row r="46" spans="1:40" ht="12">
      <c r="A46" s="465" t="s">
        <v>354</v>
      </c>
      <c r="B46" s="680" t="s">
        <v>427</v>
      </c>
      <c r="C46" s="680"/>
      <c r="D46" s="466" t="s">
        <v>426</v>
      </c>
      <c r="E46" s="466"/>
      <c r="F46" s="466"/>
      <c r="G46" s="466"/>
      <c r="H46" s="466"/>
      <c r="I46" s="466"/>
      <c r="J46" s="466"/>
      <c r="K46" s="466"/>
      <c r="L46" s="466"/>
      <c r="M46" s="466"/>
      <c r="N46" s="466"/>
      <c r="O46" s="466"/>
      <c r="P46" s="466"/>
      <c r="Q46" s="466"/>
      <c r="R46" s="466"/>
      <c r="S46" s="466"/>
      <c r="T46" s="466"/>
      <c r="U46" s="466"/>
      <c r="V46" s="466"/>
      <c r="W46" s="466"/>
      <c r="X46" s="466"/>
      <c r="Y46" s="402"/>
      <c r="Z46" s="402"/>
      <c r="AA46" s="402"/>
      <c r="AB46" s="402"/>
      <c r="AC46" s="402"/>
      <c r="AD46" s="402"/>
      <c r="AE46" s="402"/>
      <c r="AF46" s="402"/>
      <c r="AG46" s="402"/>
      <c r="AH46" s="402"/>
      <c r="AI46" s="402"/>
      <c r="AJ46" s="402"/>
      <c r="AK46" s="402"/>
      <c r="AL46" s="402"/>
      <c r="AM46" s="402"/>
      <c r="AN46" s="402"/>
    </row>
    <row r="47" spans="1:40" ht="12">
      <c r="A47" s="465" t="s">
        <v>354</v>
      </c>
      <c r="B47" s="680" t="s">
        <v>428</v>
      </c>
      <c r="C47" s="680"/>
      <c r="D47" s="466" t="s">
        <v>429</v>
      </c>
      <c r="E47" s="466"/>
      <c r="F47" s="466"/>
      <c r="G47" s="466"/>
      <c r="H47" s="466"/>
      <c r="I47" s="466"/>
      <c r="J47" s="466"/>
      <c r="K47" s="466"/>
      <c r="L47" s="466"/>
      <c r="M47" s="466"/>
      <c r="N47" s="466"/>
      <c r="O47" s="466"/>
      <c r="P47" s="466"/>
      <c r="Q47" s="466"/>
      <c r="R47" s="466"/>
      <c r="S47" s="466"/>
      <c r="T47" s="466"/>
      <c r="U47" s="466"/>
      <c r="V47" s="466"/>
      <c r="W47" s="466"/>
      <c r="X47" s="466"/>
      <c r="Y47" s="402"/>
      <c r="Z47" s="402"/>
      <c r="AA47" s="402"/>
      <c r="AB47" s="402"/>
      <c r="AC47" s="402"/>
      <c r="AD47" s="402"/>
      <c r="AE47" s="402"/>
      <c r="AF47" s="402"/>
      <c r="AG47" s="402"/>
      <c r="AH47" s="402"/>
      <c r="AI47" s="402"/>
      <c r="AJ47" s="402"/>
      <c r="AK47" s="402"/>
      <c r="AL47" s="402"/>
      <c r="AM47" s="402"/>
      <c r="AN47" s="402"/>
    </row>
    <row r="48" spans="1:40" ht="12">
      <c r="A48" s="465" t="s">
        <v>354</v>
      </c>
      <c r="B48" s="680" t="s">
        <v>430</v>
      </c>
      <c r="C48" s="680"/>
      <c r="D48" s="466" t="s">
        <v>431</v>
      </c>
      <c r="E48" s="466"/>
      <c r="F48" s="466"/>
      <c r="G48" s="466"/>
      <c r="H48" s="466"/>
      <c r="I48" s="466"/>
      <c r="J48" s="466"/>
      <c r="K48" s="466"/>
      <c r="L48" s="466"/>
      <c r="M48" s="466"/>
      <c r="N48" s="466"/>
      <c r="O48" s="466"/>
      <c r="P48" s="466"/>
      <c r="Q48" s="466"/>
      <c r="R48" s="466"/>
      <c r="S48" s="466"/>
      <c r="T48" s="466"/>
      <c r="U48" s="466"/>
      <c r="V48" s="466"/>
      <c r="W48" s="466"/>
      <c r="X48" s="466"/>
      <c r="Y48" s="402"/>
      <c r="Z48" s="402"/>
      <c r="AA48" s="402"/>
      <c r="AB48" s="402"/>
      <c r="AC48" s="402"/>
      <c r="AD48" s="402"/>
      <c r="AE48" s="402"/>
      <c r="AF48" s="402"/>
      <c r="AG48" s="402"/>
      <c r="AH48" s="402"/>
      <c r="AI48" s="402"/>
      <c r="AJ48" s="402"/>
      <c r="AK48" s="402"/>
      <c r="AL48" s="402"/>
      <c r="AM48" s="402"/>
      <c r="AN48" s="402"/>
    </row>
    <row r="49" spans="1:40" ht="12.75">
      <c r="A49" s="465"/>
      <c r="B49" s="466"/>
      <c r="C49" s="466"/>
      <c r="D49" s="468" t="s">
        <v>433</v>
      </c>
      <c r="E49" s="468"/>
      <c r="F49" s="468"/>
      <c r="G49" s="468"/>
      <c r="H49" s="468"/>
      <c r="I49" s="468"/>
      <c r="J49" s="468"/>
      <c r="K49" s="468"/>
      <c r="L49" s="468"/>
      <c r="M49" s="468"/>
      <c r="N49" s="468"/>
      <c r="O49" s="468"/>
      <c r="P49" s="468"/>
      <c r="Q49" s="468"/>
      <c r="R49" s="468"/>
      <c r="S49" s="466"/>
      <c r="T49" s="466"/>
      <c r="U49" s="466"/>
      <c r="V49" s="466"/>
      <c r="W49" s="466"/>
      <c r="X49" s="466"/>
      <c r="Y49" s="402"/>
      <c r="Z49" s="402"/>
      <c r="AA49" s="402"/>
      <c r="AB49" s="402"/>
      <c r="AC49" s="402"/>
      <c r="AD49" s="402"/>
      <c r="AE49" s="402"/>
      <c r="AF49" s="402"/>
      <c r="AG49" s="402"/>
      <c r="AH49" s="402"/>
      <c r="AI49" s="402"/>
      <c r="AJ49" s="402"/>
      <c r="AK49" s="402"/>
      <c r="AL49" s="402"/>
      <c r="AM49" s="402"/>
      <c r="AN49" s="402"/>
    </row>
    <row r="50" spans="1:40" ht="12.75">
      <c r="A50" s="465"/>
      <c r="B50" s="466"/>
      <c r="C50" s="466"/>
      <c r="D50" s="468" t="s">
        <v>432</v>
      </c>
      <c r="E50" s="468"/>
      <c r="F50" s="468"/>
      <c r="G50" s="468"/>
      <c r="H50" s="468"/>
      <c r="I50" s="468"/>
      <c r="J50" s="468"/>
      <c r="K50" s="468"/>
      <c r="L50" s="468"/>
      <c r="M50" s="468"/>
      <c r="N50" s="468"/>
      <c r="O50" s="468"/>
      <c r="P50" s="468"/>
      <c r="Q50" s="468"/>
      <c r="R50" s="468"/>
      <c r="S50" s="466"/>
      <c r="T50" s="466"/>
      <c r="U50" s="466"/>
      <c r="V50" s="466"/>
      <c r="W50" s="466"/>
      <c r="X50" s="466"/>
      <c r="Y50" s="402"/>
      <c r="Z50" s="402"/>
      <c r="AA50" s="402"/>
      <c r="AB50" s="402"/>
      <c r="AC50" s="402"/>
      <c r="AD50" s="402"/>
      <c r="AE50" s="402"/>
      <c r="AF50" s="402"/>
      <c r="AG50" s="402"/>
      <c r="AH50" s="402"/>
      <c r="AI50" s="402"/>
      <c r="AJ50" s="402"/>
      <c r="AK50" s="402"/>
      <c r="AL50" s="402"/>
      <c r="AM50" s="402"/>
      <c r="AN50" s="402"/>
    </row>
    <row r="51" spans="1:40" ht="12">
      <c r="A51" s="465"/>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02"/>
      <c r="Z51" s="402"/>
      <c r="AA51" s="402"/>
      <c r="AB51" s="402"/>
      <c r="AC51" s="402"/>
      <c r="AD51" s="402"/>
      <c r="AE51" s="402"/>
      <c r="AF51" s="402"/>
      <c r="AG51" s="402"/>
      <c r="AH51" s="402"/>
      <c r="AI51" s="402"/>
      <c r="AJ51" s="402"/>
      <c r="AK51" s="402"/>
      <c r="AL51" s="402"/>
      <c r="AM51" s="402"/>
      <c r="AN51" s="402"/>
    </row>
    <row r="52" spans="1:40" ht="12">
      <c r="A52" s="401"/>
      <c r="B52" s="402"/>
      <c r="C52" s="402"/>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row>
    <row r="53" spans="1:40" ht="12">
      <c r="A53" s="401"/>
      <c r="B53" s="402"/>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row>
    <row r="54" spans="1:40" ht="12">
      <c r="A54" s="401"/>
      <c r="B54" s="402"/>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row>
    <row r="55" spans="1:40" ht="12">
      <c r="A55" s="401"/>
      <c r="B55" s="402"/>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row>
    <row r="56" spans="1:40" ht="12">
      <c r="A56" s="401"/>
      <c r="B56" s="402"/>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row>
    <row r="57" spans="1:40" ht="12">
      <c r="A57" s="401"/>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row>
    <row r="58" spans="1:40" ht="12">
      <c r="A58" s="401"/>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row>
    <row r="59" spans="1:40" ht="12">
      <c r="A59" s="401"/>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row>
    <row r="60" spans="1:40" ht="12">
      <c r="A60" s="40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row>
    <row r="61" spans="1:40" ht="12">
      <c r="A61" s="401"/>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row>
    <row r="62" spans="1:40" ht="12">
      <c r="A62" s="401"/>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row>
    <row r="63" spans="1:40" ht="12">
      <c r="A63" s="401"/>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row>
    <row r="64" spans="1:40" ht="12">
      <c r="A64" s="401"/>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row>
    <row r="65" spans="1:40" ht="12">
      <c r="A65" s="401"/>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row>
    <row r="66" spans="1:40" ht="12">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row>
    <row r="67" spans="1:40" ht="12">
      <c r="A67" s="401"/>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row>
    <row r="68" spans="1:40" ht="12">
      <c r="A68" s="401"/>
      <c r="B68" s="402"/>
      <c r="C68" s="402"/>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2"/>
      <c r="AJ68" s="402"/>
      <c r="AK68" s="402"/>
      <c r="AL68" s="402"/>
      <c r="AM68" s="402"/>
      <c r="AN68" s="402"/>
    </row>
    <row r="69" spans="1:40" ht="12">
      <c r="A69" s="401"/>
      <c r="B69" s="402"/>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row>
    <row r="70" spans="1:40" ht="12">
      <c r="A70" s="401"/>
      <c r="B70" s="402"/>
      <c r="C70" s="402"/>
      <c r="D70" s="402"/>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row>
    <row r="71" spans="1:40" ht="12">
      <c r="A71" s="401"/>
      <c r="B71" s="402"/>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row>
    <row r="72" spans="1:40" ht="12">
      <c r="A72" s="401"/>
      <c r="B72" s="402"/>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row>
    <row r="73" spans="1:40" ht="12">
      <c r="A73" s="401"/>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row>
    <row r="74" spans="1:40" ht="12">
      <c r="A74" s="401"/>
      <c r="B74" s="402"/>
      <c r="C74" s="402"/>
      <c r="D74" s="402"/>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row>
    <row r="75" spans="1:40" ht="12">
      <c r="A75" s="401"/>
      <c r="B75" s="402"/>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row>
    <row r="76" spans="1:40" ht="12">
      <c r="A76" s="401"/>
      <c r="B76" s="402"/>
      <c r="C76" s="402"/>
      <c r="D76" s="402"/>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row>
    <row r="77" spans="1:40" ht="12">
      <c r="A77" s="401"/>
      <c r="B77" s="402"/>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row>
    <row r="78" spans="1:40" ht="12">
      <c r="A78" s="401"/>
      <c r="B78" s="402"/>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row>
    <row r="79" spans="1:40" ht="12">
      <c r="A79" s="401"/>
      <c r="B79" s="402"/>
      <c r="C79" s="402"/>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row>
    <row r="80" spans="1:40" ht="12">
      <c r="A80" s="401"/>
      <c r="B80" s="402"/>
      <c r="C80" s="402"/>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row>
    <row r="81" spans="1:40" ht="12">
      <c r="A81" s="401"/>
      <c r="B81" s="402"/>
      <c r="C81" s="402"/>
      <c r="D81" s="402"/>
      <c r="E81" s="402"/>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c r="AM81" s="402"/>
      <c r="AN81" s="402"/>
    </row>
    <row r="82" spans="1:40" ht="12">
      <c r="A82" s="401"/>
      <c r="B82" s="402"/>
      <c r="C82" s="402"/>
      <c r="D82" s="402"/>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402"/>
    </row>
    <row r="83" spans="1:40" ht="12">
      <c r="A83" s="401"/>
      <c r="B83" s="402"/>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row>
    <row r="84" spans="1:40" ht="12">
      <c r="A84" s="401"/>
      <c r="B84" s="402"/>
      <c r="C84" s="402"/>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row>
    <row r="85" spans="1:40" ht="12">
      <c r="A85" s="401"/>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row>
    <row r="86" spans="1:40" ht="12">
      <c r="A86" s="401"/>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row>
    <row r="87" spans="1:40" ht="12">
      <c r="A87" s="401"/>
      <c r="B87" s="402"/>
      <c r="C87" s="402"/>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row>
    <row r="88" spans="1:40" ht="12">
      <c r="A88" s="401"/>
      <c r="B88" s="402"/>
      <c r="C88" s="402"/>
      <c r="D88" s="402"/>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row>
    <row r="89" spans="1:40" ht="12">
      <c r="A89" s="401"/>
      <c r="B89" s="402"/>
      <c r="C89" s="402"/>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row>
    <row r="90" spans="1:40" ht="12">
      <c r="A90" s="401"/>
      <c r="B90" s="402"/>
      <c r="C90" s="402"/>
      <c r="D90" s="402"/>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row>
    <row r="91" spans="1:40" ht="12">
      <c r="A91" s="401"/>
      <c r="B91" s="402"/>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row>
    <row r="92" spans="1:40" ht="12">
      <c r="A92" s="401"/>
      <c r="B92" s="402"/>
      <c r="C92" s="402"/>
      <c r="D92" s="402"/>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row>
    <row r="93" spans="1:40" ht="12">
      <c r="A93" s="401"/>
      <c r="B93" s="402"/>
      <c r="C93" s="402"/>
      <c r="D93" s="402"/>
      <c r="E93" s="402"/>
      <c r="F93" s="402"/>
      <c r="G93" s="402"/>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row>
    <row r="94" spans="1:40" ht="12">
      <c r="A94" s="401"/>
      <c r="B94" s="402"/>
      <c r="C94" s="402"/>
      <c r="D94" s="402"/>
      <c r="E94" s="402"/>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row>
    <row r="95" spans="1:40" ht="12">
      <c r="A95" s="401"/>
      <c r="B95" s="402"/>
      <c r="C95" s="402"/>
      <c r="D95" s="402"/>
      <c r="E95" s="402"/>
      <c r="F95" s="402"/>
      <c r="G95" s="402"/>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row>
    <row r="96" spans="1:40" ht="12">
      <c r="A96" s="401"/>
      <c r="B96" s="402"/>
      <c r="C96" s="402"/>
      <c r="D96" s="402"/>
      <c r="E96" s="402"/>
      <c r="F96" s="402"/>
      <c r="G96" s="402"/>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row>
    <row r="97" spans="1:40" ht="12">
      <c r="A97" s="401"/>
      <c r="B97" s="402"/>
      <c r="C97" s="402"/>
      <c r="D97" s="402"/>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row>
    <row r="98" spans="1:40" ht="12">
      <c r="A98" s="401"/>
      <c r="B98" s="402"/>
      <c r="C98" s="402"/>
      <c r="D98" s="402"/>
      <c r="E98" s="402"/>
      <c r="F98" s="402"/>
      <c r="G98" s="402"/>
      <c r="H98" s="402"/>
      <c r="I98" s="402"/>
      <c r="J98" s="402"/>
      <c r="K98" s="402"/>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row>
    <row r="99" spans="1:40" ht="12">
      <c r="A99" s="401"/>
      <c r="B99" s="402"/>
      <c r="C99" s="402"/>
      <c r="D99" s="402"/>
      <c r="E99" s="402"/>
      <c r="F99" s="402"/>
      <c r="G99" s="402"/>
      <c r="H99" s="402"/>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2"/>
      <c r="AK99" s="402"/>
      <c r="AL99" s="402"/>
      <c r="AM99" s="402"/>
      <c r="AN99" s="402"/>
    </row>
    <row r="100" spans="1:40" ht="12">
      <c r="A100" s="401"/>
      <c r="B100" s="402"/>
      <c r="C100" s="402"/>
      <c r="D100" s="402"/>
      <c r="E100" s="402"/>
      <c r="F100" s="402"/>
      <c r="G100" s="402"/>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row>
    <row r="101" spans="1:40" ht="12">
      <c r="A101" s="401"/>
      <c r="B101" s="402"/>
      <c r="C101" s="402"/>
      <c r="D101" s="402"/>
      <c r="E101" s="402"/>
      <c r="F101" s="402"/>
      <c r="G101" s="402"/>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row>
    <row r="102" spans="1:40" ht="12">
      <c r="A102" s="401"/>
      <c r="B102" s="402"/>
      <c r="C102" s="402"/>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402"/>
      <c r="AK102" s="402"/>
      <c r="AL102" s="402"/>
      <c r="AM102" s="402"/>
      <c r="AN102" s="402"/>
    </row>
    <row r="103" spans="1:40" ht="12">
      <c r="A103" s="401"/>
      <c r="B103" s="402"/>
      <c r="C103" s="402"/>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2"/>
      <c r="AL103" s="402"/>
      <c r="AM103" s="402"/>
      <c r="AN103" s="402"/>
    </row>
    <row r="104" spans="1:40" ht="12">
      <c r="A104" s="401"/>
      <c r="B104" s="402"/>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402"/>
    </row>
    <row r="105" spans="1:40" ht="12">
      <c r="A105" s="401"/>
      <c r="B105" s="402"/>
      <c r="C105" s="402"/>
      <c r="D105" s="402"/>
      <c r="E105" s="402"/>
      <c r="F105" s="402"/>
      <c r="G105" s="402"/>
      <c r="H105" s="402"/>
      <c r="I105" s="402"/>
      <c r="J105" s="402"/>
      <c r="K105" s="402"/>
      <c r="L105" s="402"/>
      <c r="M105" s="402"/>
      <c r="N105" s="402"/>
      <c r="O105" s="402"/>
      <c r="P105" s="402"/>
      <c r="Q105" s="402"/>
      <c r="R105" s="402"/>
      <c r="S105" s="402"/>
      <c r="T105" s="402"/>
      <c r="U105" s="402"/>
      <c r="V105" s="402"/>
      <c r="W105" s="402"/>
      <c r="X105" s="402"/>
      <c r="Y105" s="402"/>
      <c r="Z105" s="402"/>
      <c r="AA105" s="402"/>
      <c r="AB105" s="402"/>
      <c r="AC105" s="402"/>
      <c r="AD105" s="402"/>
      <c r="AE105" s="402"/>
      <c r="AF105" s="402"/>
      <c r="AG105" s="402"/>
      <c r="AH105" s="402"/>
      <c r="AI105" s="402"/>
      <c r="AJ105" s="402"/>
      <c r="AK105" s="402"/>
      <c r="AL105" s="402"/>
      <c r="AM105" s="402"/>
      <c r="AN105" s="402"/>
    </row>
    <row r="106" spans="1:40" ht="12">
      <c r="A106" s="401"/>
      <c r="B106" s="402"/>
      <c r="C106" s="402"/>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row>
    <row r="107" spans="1:40" ht="12">
      <c r="A107" s="401"/>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row>
    <row r="108" spans="1:40" ht="12">
      <c r="A108" s="401"/>
      <c r="B108" s="402"/>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2"/>
      <c r="AK108" s="402"/>
      <c r="AL108" s="402"/>
      <c r="AM108" s="402"/>
      <c r="AN108" s="402"/>
    </row>
    <row r="109" spans="1:40" ht="12">
      <c r="A109" s="401"/>
      <c r="B109" s="402"/>
      <c r="C109" s="402"/>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2"/>
      <c r="AM109" s="402"/>
      <c r="AN109" s="402"/>
    </row>
    <row r="110" spans="1:40" ht="12">
      <c r="A110" s="401"/>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c r="AL110" s="402"/>
      <c r="AM110" s="402"/>
      <c r="AN110" s="402"/>
    </row>
    <row r="111" spans="1:40" ht="12">
      <c r="A111" s="401"/>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row>
    <row r="112" spans="1:40" ht="12">
      <c r="A112" s="401"/>
      <c r="B112" s="402"/>
      <c r="C112" s="402"/>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row>
    <row r="113" spans="1:40" ht="12">
      <c r="A113" s="401"/>
      <c r="B113" s="402"/>
      <c r="C113" s="402"/>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02"/>
      <c r="AE113" s="402"/>
      <c r="AF113" s="402"/>
      <c r="AG113" s="402"/>
      <c r="AH113" s="402"/>
      <c r="AI113" s="402"/>
      <c r="AJ113" s="402"/>
      <c r="AK113" s="402"/>
      <c r="AL113" s="402"/>
      <c r="AM113" s="402"/>
      <c r="AN113" s="402"/>
    </row>
    <row r="114" spans="1:40" ht="12">
      <c r="A114" s="401"/>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c r="AL114" s="402"/>
      <c r="AM114" s="402"/>
      <c r="AN114" s="402"/>
    </row>
    <row r="115" spans="1:40" ht="12">
      <c r="A115" s="401"/>
      <c r="B115" s="402"/>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row>
    <row r="116" spans="1:40" ht="12">
      <c r="A116" s="401"/>
      <c r="B116" s="402"/>
      <c r="C116" s="402"/>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row>
    <row r="117" spans="1:40" ht="12">
      <c r="A117" s="401"/>
      <c r="B117" s="402"/>
      <c r="C117" s="402"/>
      <c r="D117" s="402"/>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402"/>
      <c r="AN117" s="402"/>
    </row>
    <row r="118" spans="1:40" ht="12">
      <c r="A118" s="401"/>
      <c r="B118" s="402"/>
      <c r="C118" s="402"/>
      <c r="D118" s="402"/>
      <c r="E118" s="402"/>
      <c r="F118" s="402"/>
      <c r="G118" s="402"/>
      <c r="H118" s="402"/>
      <c r="I118" s="402"/>
      <c r="J118" s="402"/>
      <c r="K118" s="402"/>
      <c r="L118" s="402"/>
      <c r="M118" s="402"/>
      <c r="N118" s="402"/>
      <c r="O118" s="402"/>
      <c r="P118" s="402"/>
      <c r="Q118" s="402"/>
      <c r="R118" s="402"/>
      <c r="S118" s="402"/>
      <c r="T118" s="402"/>
      <c r="U118" s="402"/>
      <c r="V118" s="402"/>
      <c r="W118" s="402"/>
      <c r="X118" s="402"/>
      <c r="Y118" s="402"/>
      <c r="Z118" s="402"/>
      <c r="AA118" s="402"/>
      <c r="AB118" s="402"/>
      <c r="AC118" s="402"/>
      <c r="AD118" s="402"/>
      <c r="AE118" s="402"/>
      <c r="AF118" s="402"/>
      <c r="AG118" s="402"/>
      <c r="AH118" s="402"/>
      <c r="AI118" s="402"/>
      <c r="AJ118" s="402"/>
      <c r="AK118" s="402"/>
      <c r="AL118" s="402"/>
      <c r="AM118" s="402"/>
      <c r="AN118" s="402"/>
    </row>
    <row r="119" spans="1:40" ht="12">
      <c r="A119" s="401"/>
      <c r="B119" s="402"/>
      <c r="C119" s="402"/>
      <c r="D119" s="402"/>
      <c r="E119" s="402"/>
      <c r="F119" s="402"/>
      <c r="G119" s="402"/>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c r="AL119" s="402"/>
      <c r="AM119" s="402"/>
      <c r="AN119" s="402"/>
    </row>
    <row r="120" spans="1:40" ht="12">
      <c r="A120" s="401"/>
      <c r="B120" s="402"/>
      <c r="C120" s="402"/>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2"/>
      <c r="AN120" s="402"/>
    </row>
    <row r="121" spans="1:40" ht="12">
      <c r="A121" s="401"/>
      <c r="B121" s="402"/>
      <c r="C121" s="402"/>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c r="AH121" s="402"/>
      <c r="AI121" s="402"/>
      <c r="AJ121" s="402"/>
      <c r="AK121" s="402"/>
      <c r="AL121" s="402"/>
      <c r="AM121" s="402"/>
      <c r="AN121" s="402"/>
    </row>
    <row r="122" spans="1:40" ht="12">
      <c r="A122" s="401"/>
      <c r="B122" s="402"/>
      <c r="C122" s="402"/>
      <c r="D122" s="402"/>
      <c r="E122" s="402"/>
      <c r="F122" s="402"/>
      <c r="G122" s="402"/>
      <c r="H122" s="402"/>
      <c r="I122" s="402"/>
      <c r="J122" s="402"/>
      <c r="K122" s="402"/>
      <c r="L122" s="402"/>
      <c r="M122" s="402"/>
      <c r="N122" s="402"/>
      <c r="O122" s="402"/>
      <c r="P122" s="402"/>
      <c r="Q122" s="402"/>
      <c r="R122" s="402"/>
      <c r="S122" s="402"/>
      <c r="T122" s="402"/>
      <c r="U122" s="402"/>
      <c r="V122" s="402"/>
      <c r="W122" s="402"/>
      <c r="X122" s="402"/>
      <c r="Y122" s="402"/>
      <c r="Z122" s="402"/>
      <c r="AA122" s="402"/>
      <c r="AB122" s="402"/>
      <c r="AC122" s="402"/>
      <c r="AD122" s="402"/>
      <c r="AE122" s="402"/>
      <c r="AF122" s="402"/>
      <c r="AG122" s="402"/>
      <c r="AH122" s="402"/>
      <c r="AI122" s="402"/>
      <c r="AJ122" s="402"/>
      <c r="AK122" s="402"/>
      <c r="AL122" s="402"/>
      <c r="AM122" s="402"/>
      <c r="AN122" s="402"/>
    </row>
    <row r="123" spans="1:40" ht="12">
      <c r="A123" s="401"/>
      <c r="B123" s="402"/>
      <c r="C123" s="402"/>
      <c r="D123" s="402"/>
      <c r="E123" s="402"/>
      <c r="F123" s="402"/>
      <c r="G123" s="402"/>
      <c r="H123" s="402"/>
      <c r="I123" s="402"/>
      <c r="J123" s="402"/>
      <c r="K123" s="402"/>
      <c r="L123" s="402"/>
      <c r="M123" s="402"/>
      <c r="N123" s="402"/>
      <c r="O123" s="402"/>
      <c r="P123" s="402"/>
      <c r="Q123" s="402"/>
      <c r="R123" s="402"/>
      <c r="S123" s="402"/>
      <c r="T123" s="402"/>
      <c r="U123" s="402"/>
      <c r="V123" s="402"/>
      <c r="W123" s="402"/>
      <c r="X123" s="402"/>
      <c r="Y123" s="402"/>
      <c r="Z123" s="402"/>
      <c r="AA123" s="402"/>
      <c r="AB123" s="402"/>
      <c r="AC123" s="402"/>
      <c r="AD123" s="402"/>
      <c r="AE123" s="402"/>
      <c r="AF123" s="402"/>
      <c r="AG123" s="402"/>
      <c r="AH123" s="402"/>
      <c r="AI123" s="402"/>
      <c r="AJ123" s="402"/>
      <c r="AK123" s="402"/>
      <c r="AL123" s="402"/>
      <c r="AM123" s="402"/>
      <c r="AN123" s="402"/>
    </row>
    <row r="124" spans="1:40" ht="12">
      <c r="A124" s="401"/>
      <c r="B124" s="402"/>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2"/>
      <c r="AM124" s="402"/>
      <c r="AN124" s="402"/>
    </row>
    <row r="125" spans="1:40" ht="12">
      <c r="A125" s="401"/>
      <c r="B125" s="402"/>
      <c r="C125" s="402"/>
      <c r="D125" s="402"/>
      <c r="E125" s="402"/>
      <c r="F125" s="402"/>
      <c r="G125" s="402"/>
      <c r="H125" s="402"/>
      <c r="I125" s="402"/>
      <c r="J125" s="402"/>
      <c r="K125" s="402"/>
      <c r="L125" s="402"/>
      <c r="M125" s="402"/>
      <c r="N125" s="402"/>
      <c r="O125" s="402"/>
      <c r="P125" s="402"/>
      <c r="Q125" s="402"/>
      <c r="R125" s="402"/>
      <c r="S125" s="402"/>
      <c r="T125" s="402"/>
      <c r="U125" s="402"/>
      <c r="V125" s="402"/>
      <c r="W125" s="402"/>
      <c r="X125" s="402"/>
      <c r="Y125" s="402"/>
      <c r="Z125" s="402"/>
      <c r="AA125" s="402"/>
      <c r="AB125" s="402"/>
      <c r="AC125" s="402"/>
      <c r="AD125" s="402"/>
      <c r="AE125" s="402"/>
      <c r="AF125" s="402"/>
      <c r="AG125" s="402"/>
      <c r="AH125" s="402"/>
      <c r="AI125" s="402"/>
      <c r="AJ125" s="402"/>
      <c r="AK125" s="402"/>
      <c r="AL125" s="402"/>
      <c r="AM125" s="402"/>
      <c r="AN125" s="402"/>
    </row>
    <row r="126" spans="1:40" ht="12">
      <c r="A126" s="401"/>
      <c r="B126" s="402"/>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row>
    <row r="127" spans="1:40" ht="12">
      <c r="A127" s="401"/>
      <c r="B127" s="402"/>
      <c r="C127" s="402"/>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row>
    <row r="128" spans="1:40" ht="12">
      <c r="A128" s="401"/>
      <c r="B128" s="402"/>
      <c r="C128" s="402"/>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row>
    <row r="129" spans="1:40" ht="12">
      <c r="A129" s="401"/>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row>
    <row r="130" spans="1:40" ht="12">
      <c r="A130" s="401"/>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row>
    <row r="131" spans="1:40" ht="12">
      <c r="A131" s="401"/>
      <c r="B131" s="402"/>
      <c r="C131" s="402"/>
      <c r="D131" s="402"/>
      <c r="E131" s="402"/>
      <c r="F131" s="402"/>
      <c r="G131" s="402"/>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row>
    <row r="132" spans="1:40" ht="12">
      <c r="A132" s="401"/>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row>
    <row r="133" spans="1:40" ht="12">
      <c r="A133" s="401"/>
      <c r="B133" s="402"/>
      <c r="C133" s="402"/>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2"/>
      <c r="AM133" s="402"/>
      <c r="AN133" s="402"/>
    </row>
    <row r="134" spans="1:40" ht="12">
      <c r="A134" s="401"/>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row>
    <row r="135" spans="1:40" ht="12">
      <c r="A135" s="401"/>
      <c r="B135" s="402"/>
      <c r="C135" s="402"/>
      <c r="D135" s="402"/>
      <c r="E135" s="402"/>
      <c r="F135" s="402"/>
      <c r="G135" s="402"/>
      <c r="H135" s="402"/>
      <c r="I135" s="402"/>
      <c r="J135" s="402"/>
      <c r="K135" s="402"/>
      <c r="L135" s="402"/>
      <c r="M135" s="402"/>
      <c r="N135" s="402"/>
      <c r="O135" s="402"/>
      <c r="P135" s="402"/>
      <c r="Q135" s="402"/>
      <c r="R135" s="402"/>
      <c r="S135" s="402"/>
      <c r="T135" s="402"/>
      <c r="U135" s="402"/>
      <c r="V135" s="402"/>
      <c r="W135" s="402"/>
      <c r="X135" s="402"/>
      <c r="Y135" s="402"/>
      <c r="Z135" s="402"/>
      <c r="AA135" s="402"/>
      <c r="AB135" s="402"/>
      <c r="AC135" s="402"/>
      <c r="AD135" s="402"/>
      <c r="AE135" s="402"/>
      <c r="AF135" s="402"/>
      <c r="AG135" s="402"/>
      <c r="AH135" s="402"/>
      <c r="AI135" s="402"/>
      <c r="AJ135" s="402"/>
      <c r="AK135" s="402"/>
      <c r="AL135" s="402"/>
      <c r="AM135" s="402"/>
      <c r="AN135" s="402"/>
    </row>
    <row r="136" spans="1:40" ht="12">
      <c r="A136" s="401"/>
      <c r="B136" s="402"/>
      <c r="C136" s="402"/>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row>
    <row r="137" spans="1:40" ht="12">
      <c r="A137" s="401"/>
      <c r="B137" s="402"/>
      <c r="C137" s="402"/>
      <c r="D137" s="402"/>
      <c r="E137" s="402"/>
      <c r="F137" s="402"/>
      <c r="G137" s="402"/>
      <c r="H137" s="402"/>
      <c r="I137" s="402"/>
      <c r="J137" s="402"/>
      <c r="K137" s="402"/>
      <c r="L137" s="402"/>
      <c r="M137" s="402"/>
      <c r="N137" s="402"/>
      <c r="O137" s="402"/>
      <c r="P137" s="402"/>
      <c r="Q137" s="402"/>
      <c r="R137" s="402"/>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row>
    <row r="138" spans="1:40" ht="12">
      <c r="A138" s="401"/>
      <c r="B138" s="402"/>
      <c r="C138" s="402"/>
      <c r="D138" s="402"/>
      <c r="E138" s="402"/>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row>
    <row r="139" spans="1:40" ht="12">
      <c r="A139" s="401"/>
      <c r="B139" s="402"/>
      <c r="C139" s="402"/>
      <c r="D139" s="402"/>
      <c r="E139" s="402"/>
      <c r="F139" s="402"/>
      <c r="G139" s="402"/>
      <c r="H139" s="402"/>
      <c r="I139" s="402"/>
      <c r="J139" s="402"/>
      <c r="K139" s="402"/>
      <c r="L139" s="402"/>
      <c r="M139" s="402"/>
      <c r="N139" s="402"/>
      <c r="O139" s="402"/>
      <c r="P139" s="402"/>
      <c r="Q139" s="402"/>
      <c r="R139" s="402"/>
      <c r="S139" s="402"/>
      <c r="T139" s="402"/>
      <c r="U139" s="402"/>
      <c r="V139" s="402"/>
      <c r="W139" s="402"/>
      <c r="X139" s="402"/>
      <c r="Y139" s="402"/>
      <c r="Z139" s="402"/>
      <c r="AA139" s="402"/>
      <c r="AB139" s="402"/>
      <c r="AC139" s="402"/>
      <c r="AD139" s="402"/>
      <c r="AE139" s="402"/>
      <c r="AF139" s="402"/>
      <c r="AG139" s="402"/>
      <c r="AH139" s="402"/>
      <c r="AI139" s="402"/>
      <c r="AJ139" s="402"/>
      <c r="AK139" s="402"/>
      <c r="AL139" s="402"/>
      <c r="AM139" s="402"/>
      <c r="AN139" s="402"/>
    </row>
    <row r="140" spans="1:40" ht="12">
      <c r="A140" s="401"/>
      <c r="B140" s="402"/>
      <c r="C140" s="402"/>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402"/>
      <c r="AE140" s="402"/>
      <c r="AF140" s="402"/>
      <c r="AG140" s="402"/>
      <c r="AH140" s="402"/>
      <c r="AI140" s="402"/>
      <c r="AJ140" s="402"/>
      <c r="AK140" s="402"/>
      <c r="AL140" s="402"/>
      <c r="AM140" s="402"/>
      <c r="AN140" s="402"/>
    </row>
    <row r="141" spans="1:40" ht="12">
      <c r="A141" s="401"/>
      <c r="B141" s="402"/>
      <c r="C141" s="402"/>
      <c r="D141" s="402"/>
      <c r="E141" s="402"/>
      <c r="F141" s="402"/>
      <c r="G141" s="402"/>
      <c r="H141" s="402"/>
      <c r="I141" s="402"/>
      <c r="J141" s="402"/>
      <c r="K141" s="402"/>
      <c r="L141" s="402"/>
      <c r="M141" s="402"/>
      <c r="N141" s="402"/>
      <c r="O141" s="402"/>
      <c r="P141" s="402"/>
      <c r="Q141" s="402"/>
      <c r="R141" s="402"/>
      <c r="S141" s="402"/>
      <c r="T141" s="402"/>
      <c r="U141" s="402"/>
      <c r="V141" s="402"/>
      <c r="W141" s="402"/>
      <c r="X141" s="402"/>
      <c r="Y141" s="402"/>
      <c r="Z141" s="402"/>
      <c r="AA141" s="402"/>
      <c r="AB141" s="402"/>
      <c r="AC141" s="402"/>
      <c r="AD141" s="402"/>
      <c r="AE141" s="402"/>
      <c r="AF141" s="402"/>
      <c r="AG141" s="402"/>
      <c r="AH141" s="402"/>
      <c r="AI141" s="402"/>
      <c r="AJ141" s="402"/>
      <c r="AK141" s="402"/>
      <c r="AL141" s="402"/>
      <c r="AM141" s="402"/>
      <c r="AN141" s="402"/>
    </row>
    <row r="142" spans="1:40" ht="12">
      <c r="A142" s="401"/>
      <c r="B142" s="402"/>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402"/>
      <c r="AH142" s="402"/>
      <c r="AI142" s="402"/>
      <c r="AJ142" s="402"/>
      <c r="AK142" s="402"/>
      <c r="AL142" s="402"/>
      <c r="AM142" s="402"/>
      <c r="AN142" s="402"/>
    </row>
    <row r="143" spans="1:40" ht="12">
      <c r="A143" s="401"/>
      <c r="B143" s="402"/>
      <c r="C143" s="402"/>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2"/>
      <c r="AD143" s="402"/>
      <c r="AE143" s="402"/>
      <c r="AF143" s="402"/>
      <c r="AG143" s="402"/>
      <c r="AH143" s="402"/>
      <c r="AI143" s="402"/>
      <c r="AJ143" s="402"/>
      <c r="AK143" s="402"/>
      <c r="AL143" s="402"/>
      <c r="AM143" s="402"/>
      <c r="AN143" s="402"/>
    </row>
    <row r="144" spans="1:40" ht="12">
      <c r="A144" s="401"/>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402"/>
      <c r="AJ144" s="402"/>
      <c r="AK144" s="402"/>
      <c r="AL144" s="402"/>
      <c r="AM144" s="402"/>
      <c r="AN144" s="402"/>
    </row>
    <row r="145" spans="1:40" ht="12">
      <c r="A145" s="401"/>
      <c r="B145" s="402"/>
      <c r="C145" s="402"/>
      <c r="D145" s="402"/>
      <c r="E145" s="402"/>
      <c r="F145" s="402"/>
      <c r="G145" s="402"/>
      <c r="H145" s="402"/>
      <c r="I145" s="402"/>
      <c r="J145" s="402"/>
      <c r="K145" s="402"/>
      <c r="L145" s="402"/>
      <c r="M145" s="402"/>
      <c r="N145" s="402"/>
      <c r="O145" s="402"/>
      <c r="P145" s="402"/>
      <c r="Q145" s="402"/>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2"/>
      <c r="AM145" s="402"/>
      <c r="AN145" s="402"/>
    </row>
    <row r="146" spans="1:40" ht="12">
      <c r="A146" s="401"/>
      <c r="B146" s="402"/>
      <c r="C146" s="402"/>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2"/>
      <c r="AN146" s="402"/>
    </row>
    <row r="147" spans="1:40" ht="12">
      <c r="A147" s="401"/>
      <c r="B147" s="402"/>
      <c r="C147" s="402"/>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2"/>
      <c r="AE147" s="402"/>
      <c r="AF147" s="402"/>
      <c r="AG147" s="402"/>
      <c r="AH147" s="402"/>
      <c r="AI147" s="402"/>
      <c r="AJ147" s="402"/>
      <c r="AK147" s="402"/>
      <c r="AL147" s="402"/>
      <c r="AM147" s="402"/>
      <c r="AN147" s="402"/>
    </row>
    <row r="148" spans="1:40" ht="12">
      <c r="A148" s="401"/>
      <c r="B148" s="402"/>
      <c r="C148" s="402"/>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402"/>
      <c r="AE148" s="402"/>
      <c r="AF148" s="402"/>
      <c r="AG148" s="402"/>
      <c r="AH148" s="402"/>
      <c r="AI148" s="402"/>
      <c r="AJ148" s="402"/>
      <c r="AK148" s="402"/>
      <c r="AL148" s="402"/>
      <c r="AM148" s="402"/>
      <c r="AN148" s="402"/>
    </row>
    <row r="149" spans="1:40" ht="12">
      <c r="A149" s="401"/>
      <c r="B149" s="402"/>
      <c r="C149" s="402"/>
      <c r="D149" s="402"/>
      <c r="E149" s="402"/>
      <c r="F149" s="402"/>
      <c r="G149" s="402"/>
      <c r="H149" s="402"/>
      <c r="I149" s="402"/>
      <c r="J149" s="402"/>
      <c r="K149" s="402"/>
      <c r="L149" s="402"/>
      <c r="M149" s="402"/>
      <c r="N149" s="402"/>
      <c r="O149" s="402"/>
      <c r="P149" s="402"/>
      <c r="Q149" s="402"/>
      <c r="R149" s="402"/>
      <c r="S149" s="402"/>
      <c r="T149" s="402"/>
      <c r="U149" s="402"/>
      <c r="V149" s="402"/>
      <c r="W149" s="402"/>
      <c r="X149" s="402"/>
      <c r="Y149" s="402"/>
      <c r="Z149" s="402"/>
      <c r="AA149" s="402"/>
      <c r="AB149" s="402"/>
      <c r="AC149" s="402"/>
      <c r="AD149" s="402"/>
      <c r="AE149" s="402"/>
      <c r="AF149" s="402"/>
      <c r="AG149" s="402"/>
      <c r="AH149" s="402"/>
      <c r="AI149" s="402"/>
      <c r="AJ149" s="402"/>
      <c r="AK149" s="402"/>
      <c r="AL149" s="402"/>
      <c r="AM149" s="402"/>
      <c r="AN149" s="402"/>
    </row>
    <row r="150" spans="1:40" ht="12">
      <c r="A150" s="401"/>
      <c r="B150" s="402"/>
      <c r="C150" s="402"/>
      <c r="D150" s="402"/>
      <c r="E150" s="402"/>
      <c r="F150" s="402"/>
      <c r="G150" s="402"/>
      <c r="H150" s="402"/>
      <c r="I150" s="402"/>
      <c r="J150" s="402"/>
      <c r="K150" s="402"/>
      <c r="L150" s="402"/>
      <c r="M150" s="402"/>
      <c r="N150" s="402"/>
      <c r="O150" s="402"/>
      <c r="P150" s="402"/>
      <c r="Q150" s="402"/>
      <c r="R150" s="402"/>
      <c r="S150" s="402"/>
      <c r="T150" s="402"/>
      <c r="U150" s="402"/>
      <c r="V150" s="402"/>
      <c r="W150" s="402"/>
      <c r="X150" s="402"/>
      <c r="Y150" s="402"/>
      <c r="Z150" s="402"/>
      <c r="AA150" s="402"/>
      <c r="AB150" s="402"/>
      <c r="AC150" s="402"/>
      <c r="AD150" s="402"/>
      <c r="AE150" s="402"/>
      <c r="AF150" s="402"/>
      <c r="AG150" s="402"/>
      <c r="AH150" s="402"/>
      <c r="AI150" s="402"/>
      <c r="AJ150" s="402"/>
      <c r="AK150" s="402"/>
      <c r="AL150" s="402"/>
      <c r="AM150" s="402"/>
      <c r="AN150" s="402"/>
    </row>
    <row r="151" spans="1:40" ht="12">
      <c r="A151" s="401"/>
      <c r="B151" s="402"/>
      <c r="C151" s="402"/>
      <c r="D151" s="402"/>
      <c r="E151" s="402"/>
      <c r="F151" s="402"/>
      <c r="G151" s="402"/>
      <c r="H151" s="402"/>
      <c r="I151" s="402"/>
      <c r="J151" s="402"/>
      <c r="K151" s="402"/>
      <c r="L151" s="402"/>
      <c r="M151" s="402"/>
      <c r="N151" s="402"/>
      <c r="O151" s="402"/>
      <c r="P151" s="402"/>
      <c r="Q151" s="402"/>
      <c r="R151" s="402"/>
      <c r="S151" s="402"/>
      <c r="T151" s="402"/>
      <c r="U151" s="402"/>
      <c r="V151" s="402"/>
      <c r="W151" s="402"/>
      <c r="X151" s="402"/>
      <c r="Y151" s="402"/>
      <c r="Z151" s="402"/>
      <c r="AA151" s="402"/>
      <c r="AB151" s="402"/>
      <c r="AC151" s="402"/>
      <c r="AD151" s="402"/>
      <c r="AE151" s="402"/>
      <c r="AF151" s="402"/>
      <c r="AG151" s="402"/>
      <c r="AH151" s="402"/>
      <c r="AI151" s="402"/>
      <c r="AJ151" s="402"/>
      <c r="AK151" s="402"/>
      <c r="AL151" s="402"/>
      <c r="AM151" s="402"/>
      <c r="AN151" s="402"/>
    </row>
    <row r="152" spans="1:40" ht="12">
      <c r="A152" s="401"/>
      <c r="B152" s="402"/>
      <c r="C152" s="402"/>
      <c r="D152" s="402"/>
      <c r="E152" s="402"/>
      <c r="F152" s="402"/>
      <c r="G152" s="402"/>
      <c r="H152" s="402"/>
      <c r="I152" s="402"/>
      <c r="J152" s="402"/>
      <c r="K152" s="402"/>
      <c r="L152" s="402"/>
      <c r="M152" s="402"/>
      <c r="N152" s="402"/>
      <c r="O152" s="402"/>
      <c r="P152" s="402"/>
      <c r="Q152" s="402"/>
      <c r="R152" s="402"/>
      <c r="S152" s="402"/>
      <c r="T152" s="402"/>
      <c r="U152" s="402"/>
      <c r="V152" s="402"/>
      <c r="W152" s="402"/>
      <c r="X152" s="402"/>
      <c r="Y152" s="402"/>
      <c r="Z152" s="402"/>
      <c r="AA152" s="402"/>
      <c r="AB152" s="402"/>
      <c r="AC152" s="402"/>
      <c r="AD152" s="402"/>
      <c r="AE152" s="402"/>
      <c r="AF152" s="402"/>
      <c r="AG152" s="402"/>
      <c r="AH152" s="402"/>
      <c r="AI152" s="402"/>
      <c r="AJ152" s="402"/>
      <c r="AK152" s="402"/>
      <c r="AL152" s="402"/>
      <c r="AM152" s="402"/>
      <c r="AN152" s="402"/>
    </row>
    <row r="153" spans="1:40" ht="12">
      <c r="A153" s="401"/>
      <c r="B153" s="402"/>
      <c r="C153" s="402"/>
      <c r="D153" s="402"/>
      <c r="E153" s="402"/>
      <c r="F153" s="402"/>
      <c r="G153" s="402"/>
      <c r="H153" s="402"/>
      <c r="I153" s="402"/>
      <c r="J153" s="402"/>
      <c r="K153" s="402"/>
      <c r="L153" s="402"/>
      <c r="M153" s="402"/>
      <c r="N153" s="402"/>
      <c r="O153" s="402"/>
      <c r="P153" s="402"/>
      <c r="Q153" s="402"/>
      <c r="R153" s="402"/>
      <c r="S153" s="402"/>
      <c r="T153" s="402"/>
      <c r="U153" s="402"/>
      <c r="V153" s="402"/>
      <c r="W153" s="402"/>
      <c r="X153" s="402"/>
      <c r="Y153" s="402"/>
      <c r="Z153" s="402"/>
      <c r="AA153" s="402"/>
      <c r="AB153" s="402"/>
      <c r="AC153" s="402"/>
      <c r="AD153" s="402"/>
      <c r="AE153" s="402"/>
      <c r="AF153" s="402"/>
      <c r="AG153" s="402"/>
      <c r="AH153" s="402"/>
      <c r="AI153" s="402"/>
      <c r="AJ153" s="402"/>
      <c r="AK153" s="402"/>
      <c r="AL153" s="402"/>
      <c r="AM153" s="402"/>
      <c r="AN153" s="402"/>
    </row>
    <row r="154" spans="1:40" ht="12">
      <c r="A154" s="401"/>
      <c r="B154" s="402"/>
      <c r="C154" s="402"/>
      <c r="D154" s="402"/>
      <c r="E154" s="402"/>
      <c r="F154" s="402"/>
      <c r="G154" s="402"/>
      <c r="H154" s="402"/>
      <c r="I154" s="402"/>
      <c r="J154" s="402"/>
      <c r="K154" s="402"/>
      <c r="L154" s="402"/>
      <c r="M154" s="402"/>
      <c r="N154" s="402"/>
      <c r="O154" s="402"/>
      <c r="P154" s="402"/>
      <c r="Q154" s="402"/>
      <c r="R154" s="402"/>
      <c r="S154" s="402"/>
      <c r="T154" s="402"/>
      <c r="U154" s="402"/>
      <c r="V154" s="402"/>
      <c r="W154" s="402"/>
      <c r="X154" s="402"/>
      <c r="Y154" s="402"/>
      <c r="Z154" s="402"/>
      <c r="AA154" s="402"/>
      <c r="AB154" s="402"/>
      <c r="AC154" s="402"/>
      <c r="AD154" s="402"/>
      <c r="AE154" s="402"/>
      <c r="AF154" s="402"/>
      <c r="AG154" s="402"/>
      <c r="AH154" s="402"/>
      <c r="AI154" s="402"/>
      <c r="AJ154" s="402"/>
      <c r="AK154" s="402"/>
      <c r="AL154" s="402"/>
      <c r="AM154" s="402"/>
      <c r="AN154" s="402"/>
    </row>
    <row r="155" spans="1:40" ht="12">
      <c r="A155" s="401"/>
      <c r="B155" s="402"/>
      <c r="C155" s="402"/>
      <c r="D155" s="402"/>
      <c r="E155" s="402"/>
      <c r="F155" s="402"/>
      <c r="G155" s="402"/>
      <c r="H155" s="402"/>
      <c r="I155" s="402"/>
      <c r="J155" s="402"/>
      <c r="K155" s="402"/>
      <c r="L155" s="402"/>
      <c r="M155" s="402"/>
      <c r="N155" s="402"/>
      <c r="O155" s="402"/>
      <c r="P155" s="402"/>
      <c r="Q155" s="402"/>
      <c r="R155" s="402"/>
      <c r="S155" s="402"/>
      <c r="T155" s="402"/>
      <c r="U155" s="402"/>
      <c r="V155" s="402"/>
      <c r="W155" s="402"/>
      <c r="X155" s="402"/>
      <c r="Y155" s="402"/>
      <c r="Z155" s="402"/>
      <c r="AA155" s="402"/>
      <c r="AB155" s="402"/>
      <c r="AC155" s="402"/>
      <c r="AD155" s="402"/>
      <c r="AE155" s="402"/>
      <c r="AF155" s="402"/>
      <c r="AG155" s="402"/>
      <c r="AH155" s="402"/>
      <c r="AI155" s="402"/>
      <c r="AJ155" s="402"/>
      <c r="AK155" s="402"/>
      <c r="AL155" s="402"/>
      <c r="AM155" s="402"/>
      <c r="AN155" s="402"/>
    </row>
  </sheetData>
  <sheetProtection password="D8FD" sheet="1" objects="1" scenarios="1"/>
  <mergeCells count="92">
    <mergeCell ref="B46:C46"/>
    <mergeCell ref="B47:C47"/>
    <mergeCell ref="B48:C48"/>
    <mergeCell ref="B40:C40"/>
    <mergeCell ref="B41:C41"/>
    <mergeCell ref="B44:C44"/>
    <mergeCell ref="B45:C45"/>
    <mergeCell ref="B36:C36"/>
    <mergeCell ref="B37:C37"/>
    <mergeCell ref="B38:C38"/>
    <mergeCell ref="B39:C39"/>
    <mergeCell ref="I11:L11"/>
    <mergeCell ref="I12:L12"/>
    <mergeCell ref="I13:L13"/>
    <mergeCell ref="E18:H18"/>
    <mergeCell ref="I15:L15"/>
    <mergeCell ref="E19:H19"/>
    <mergeCell ref="E20:H20"/>
    <mergeCell ref="E22:H22"/>
    <mergeCell ref="E11:H11"/>
    <mergeCell ref="E13:H13"/>
    <mergeCell ref="E14:H14"/>
    <mergeCell ref="E16:H16"/>
    <mergeCell ref="A11:D11"/>
    <mergeCell ref="A12:D12"/>
    <mergeCell ref="A13:D13"/>
    <mergeCell ref="A15:D15"/>
    <mergeCell ref="U6:V6"/>
    <mergeCell ref="U7:V7"/>
    <mergeCell ref="U8:V8"/>
    <mergeCell ref="U9:V9"/>
    <mergeCell ref="Q6:T6"/>
    <mergeCell ref="Q7:T7"/>
    <mergeCell ref="I7:J7"/>
    <mergeCell ref="K6:L6"/>
    <mergeCell ref="K7:L7"/>
    <mergeCell ref="S8:T8"/>
    <mergeCell ref="S9:T9"/>
    <mergeCell ref="O6:P6"/>
    <mergeCell ref="O7:P7"/>
    <mergeCell ref="O8:P8"/>
    <mergeCell ref="O9:P9"/>
    <mergeCell ref="E7:F7"/>
    <mergeCell ref="G6:H6"/>
    <mergeCell ref="G7:H7"/>
    <mergeCell ref="G9:H9"/>
    <mergeCell ref="K9:L9"/>
    <mergeCell ref="M6:N6"/>
    <mergeCell ref="M7:N7"/>
    <mergeCell ref="M8:N8"/>
    <mergeCell ref="M9:N9"/>
    <mergeCell ref="I6:J6"/>
    <mergeCell ref="A6:B6"/>
    <mergeCell ref="A7:B7"/>
    <mergeCell ref="C6:D6"/>
    <mergeCell ref="C7:D7"/>
    <mergeCell ref="I22:L22"/>
    <mergeCell ref="I20:L20"/>
    <mergeCell ref="I18:L18"/>
    <mergeCell ref="I19:L19"/>
    <mergeCell ref="C9:D9"/>
    <mergeCell ref="E6:F6"/>
    <mergeCell ref="Q20:T20"/>
    <mergeCell ref="Q22:T22"/>
    <mergeCell ref="M11:P11"/>
    <mergeCell ref="M12:P12"/>
    <mergeCell ref="M13:P13"/>
    <mergeCell ref="M15:P15"/>
    <mergeCell ref="M18:P18"/>
    <mergeCell ref="M19:P19"/>
    <mergeCell ref="Q11:T11"/>
    <mergeCell ref="Q12:T12"/>
    <mergeCell ref="Q13:T13"/>
    <mergeCell ref="Q15:T15"/>
    <mergeCell ref="Q18:T18"/>
    <mergeCell ref="Q19:T19"/>
    <mergeCell ref="U11:X11"/>
    <mergeCell ref="U12:X12"/>
    <mergeCell ref="U13:X13"/>
    <mergeCell ref="U15:X15"/>
    <mergeCell ref="U18:X18"/>
    <mergeCell ref="U19:X19"/>
    <mergeCell ref="U20:X20"/>
    <mergeCell ref="U22:X22"/>
    <mergeCell ref="B32:C32"/>
    <mergeCell ref="B33:C33"/>
    <mergeCell ref="B28:C28"/>
    <mergeCell ref="B29:C29"/>
    <mergeCell ref="B30:C30"/>
    <mergeCell ref="B31:C31"/>
    <mergeCell ref="M20:P20"/>
    <mergeCell ref="M22:P2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Foglio7"/>
  <dimension ref="A1:AZ560"/>
  <sheetViews>
    <sheetView zoomScalePageLayoutView="0" workbookViewId="0" topLeftCell="A1">
      <selection activeCell="A22" sqref="A22"/>
    </sheetView>
  </sheetViews>
  <sheetFormatPr defaultColWidth="9.140625" defaultRowHeight="12.75"/>
  <cols>
    <col min="1" max="1" width="4.7109375" style="0" customWidth="1"/>
    <col min="2" max="2" width="63.7109375" style="0" customWidth="1"/>
    <col min="3" max="3" width="7.421875" style="0" customWidth="1"/>
    <col min="6" max="6" width="13.7109375" style="0" customWidth="1"/>
    <col min="8" max="8" width="10.8515625" style="0" customWidth="1"/>
    <col min="11" max="11" width="0" style="0" hidden="1" customWidth="1"/>
    <col min="12" max="13" width="8.7109375" style="0" hidden="1" customWidth="1"/>
    <col min="14" max="14" width="9.28125" style="0" hidden="1" customWidth="1"/>
    <col min="15" max="17" width="8.7109375" style="0" hidden="1" customWidth="1"/>
    <col min="18" max="18" width="10.28125" style="0" hidden="1" customWidth="1"/>
    <col min="19" max="21" width="8.7109375" style="0" hidden="1" customWidth="1"/>
    <col min="22" max="22" width="10.00390625" style="0" hidden="1" customWidth="1"/>
    <col min="23" max="25" width="8.7109375" style="0" hidden="1" customWidth="1"/>
    <col min="26" max="26" width="9.28125" style="0" hidden="1" customWidth="1"/>
    <col min="27" max="27" width="8.7109375" style="0" hidden="1" customWidth="1"/>
    <col min="28" max="28" width="10.57421875" style="0" hidden="1" customWidth="1"/>
    <col min="29" max="29" width="11.8515625" style="0" hidden="1" customWidth="1"/>
    <col min="30" max="30" width="10.28125" style="0" hidden="1" customWidth="1"/>
    <col min="31" max="31" width="12.00390625" style="0" hidden="1" customWidth="1"/>
    <col min="32" max="32" width="9.28125" style="0" hidden="1" customWidth="1"/>
    <col min="33" max="33" width="11.140625" style="0" hidden="1" customWidth="1"/>
    <col min="34" max="34" width="12.421875" style="0" customWidth="1"/>
    <col min="36" max="41" width="10.57421875" style="0" customWidth="1"/>
  </cols>
  <sheetData>
    <row r="1" spans="1:52" ht="33">
      <c r="A1" s="8"/>
      <c r="B1" s="10" t="s">
        <v>583</v>
      </c>
      <c r="C1" s="10"/>
      <c r="D1" s="7"/>
      <c r="E1" s="8"/>
      <c r="F1" s="8"/>
      <c r="G1" s="8"/>
      <c r="H1" s="8"/>
      <c r="I1" s="8"/>
      <c r="J1" s="8"/>
      <c r="K1" s="8"/>
      <c r="L1" s="8"/>
      <c r="M1" s="8"/>
      <c r="N1" s="8"/>
      <c r="O1" s="8"/>
      <c r="P1" s="8"/>
      <c r="Q1" s="8"/>
      <c r="R1" s="8"/>
      <c r="S1" s="8"/>
      <c r="T1" s="8"/>
      <c r="U1" s="8"/>
      <c r="V1" s="8"/>
      <c r="W1" s="8"/>
      <c r="X1" s="8"/>
      <c r="Y1" s="8"/>
      <c r="Z1" s="8"/>
      <c r="AA1" s="8"/>
      <c r="AB1" s="8"/>
      <c r="AC1" s="8"/>
      <c r="AD1" s="8"/>
      <c r="AE1" s="8"/>
      <c r="AF1" s="8"/>
      <c r="AG1" s="456"/>
      <c r="AH1" s="8"/>
      <c r="AI1" s="8"/>
      <c r="AJ1" s="8"/>
      <c r="AK1" s="8"/>
      <c r="AL1" s="8"/>
      <c r="AM1" s="8"/>
      <c r="AN1" s="8"/>
      <c r="AO1" s="8"/>
      <c r="AP1" s="8"/>
      <c r="AQ1" s="8"/>
      <c r="AR1" s="8"/>
      <c r="AS1" s="8"/>
      <c r="AT1" s="8"/>
      <c r="AU1" s="8"/>
      <c r="AV1" s="8"/>
      <c r="AW1" s="8"/>
      <c r="AX1" s="8"/>
      <c r="AY1" s="8"/>
      <c r="AZ1" s="8"/>
    </row>
    <row r="2" spans="1:52" ht="19.5" customHeight="1">
      <c r="A2" s="281"/>
      <c r="B2" s="281" t="s">
        <v>534</v>
      </c>
      <c r="C2" s="10"/>
      <c r="D2" s="7"/>
      <c r="E2" s="8"/>
      <c r="F2" s="8"/>
      <c r="G2" s="8"/>
      <c r="H2" s="8"/>
      <c r="I2" s="8"/>
      <c r="J2" s="8"/>
      <c r="K2" s="8"/>
      <c r="L2" s="8"/>
      <c r="M2" s="8"/>
      <c r="N2" s="8"/>
      <c r="O2" s="8"/>
      <c r="P2" s="8"/>
      <c r="Q2" s="8"/>
      <c r="R2" s="8"/>
      <c r="S2" s="8"/>
      <c r="T2" s="8"/>
      <c r="U2" s="8"/>
      <c r="V2" s="8"/>
      <c r="W2" s="8"/>
      <c r="X2" s="8"/>
      <c r="Y2" s="8"/>
      <c r="Z2" s="8"/>
      <c r="AA2" s="8"/>
      <c r="AB2" s="8"/>
      <c r="AC2" s="8"/>
      <c r="AD2" s="8"/>
      <c r="AE2" s="8"/>
      <c r="AF2" s="8"/>
      <c r="AG2" s="456"/>
      <c r="AH2" s="8"/>
      <c r="AI2" s="8"/>
      <c r="AJ2" s="8"/>
      <c r="AK2" s="8"/>
      <c r="AL2" s="8"/>
      <c r="AM2" s="8"/>
      <c r="AN2" s="8"/>
      <c r="AO2" s="8"/>
      <c r="AP2" s="8"/>
      <c r="AQ2" s="8"/>
      <c r="AR2" s="8"/>
      <c r="AS2" s="8"/>
      <c r="AT2" s="8"/>
      <c r="AU2" s="8"/>
      <c r="AV2" s="8"/>
      <c r="AW2" s="8"/>
      <c r="AX2" s="8"/>
      <c r="AY2" s="8"/>
      <c r="AZ2" s="8"/>
    </row>
    <row r="3" spans="1:52" ht="23.25">
      <c r="A3" s="8"/>
      <c r="B3" s="281" t="s">
        <v>545</v>
      </c>
      <c r="C3" s="281"/>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ht="12.75">
      <c r="A4" s="433" t="str">
        <f>Datipers!A5</f>
        <v>minapoli software</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row>
    <row r="5" spans="1:52" ht="15.7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606"/>
      <c r="AC5" s="607" t="s">
        <v>618</v>
      </c>
      <c r="AD5" s="608"/>
      <c r="AE5" s="609">
        <f>F26</f>
        <v>31273.02461958101</v>
      </c>
      <c r="AF5" s="610"/>
      <c r="AG5" s="13"/>
      <c r="AH5" s="13"/>
      <c r="AI5" s="13"/>
      <c r="AJ5" s="13"/>
      <c r="AK5" s="13"/>
      <c r="AL5" s="13"/>
      <c r="AM5" s="13"/>
      <c r="AN5" s="13"/>
      <c r="AO5" s="13"/>
      <c r="AP5" s="13"/>
      <c r="AQ5" s="13"/>
      <c r="AR5" s="13"/>
      <c r="AS5" s="13"/>
      <c r="AT5" s="13"/>
      <c r="AU5" s="13"/>
      <c r="AV5" s="13"/>
      <c r="AW5" s="13"/>
      <c r="AX5" s="13"/>
      <c r="AY5" s="13"/>
      <c r="AZ5" s="13"/>
    </row>
    <row r="6" spans="1:52" ht="12.7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611"/>
      <c r="AC6" s="612"/>
      <c r="AD6" s="612"/>
      <c r="AE6" s="612"/>
      <c r="AF6" s="613"/>
      <c r="AG6" s="13"/>
      <c r="AH6" s="13"/>
      <c r="AI6" s="13"/>
      <c r="AJ6" s="13"/>
      <c r="AK6" s="13"/>
      <c r="AL6" s="13"/>
      <c r="AM6" s="13"/>
      <c r="AN6" s="13"/>
      <c r="AO6" s="13"/>
      <c r="AP6" s="13"/>
      <c r="AQ6" s="13"/>
      <c r="AR6" s="13"/>
      <c r="AS6" s="13"/>
      <c r="AT6" s="13"/>
      <c r="AU6" s="13"/>
      <c r="AV6" s="13"/>
      <c r="AW6" s="13"/>
      <c r="AX6" s="13"/>
      <c r="AY6" s="13"/>
      <c r="AZ6" s="13"/>
    </row>
    <row r="7" spans="1:52" ht="12.75">
      <c r="A7" s="13"/>
      <c r="B7" s="13" t="s">
        <v>462</v>
      </c>
      <c r="C7" s="13"/>
      <c r="D7" s="115">
        <f>N7-V7+R7-Z7</f>
        <v>31</v>
      </c>
      <c r="E7" s="13"/>
      <c r="F7" s="13"/>
      <c r="G7" s="13"/>
      <c r="H7" s="13"/>
      <c r="I7" s="13"/>
      <c r="J7" s="13"/>
      <c r="K7" s="13"/>
      <c r="L7" s="232" t="s">
        <v>365</v>
      </c>
      <c r="M7" s="84"/>
      <c r="N7" s="253">
        <f>Datipers!E16</f>
        <v>2017</v>
      </c>
      <c r="O7" s="13"/>
      <c r="P7" s="232" t="s">
        <v>366</v>
      </c>
      <c r="Q7" s="84"/>
      <c r="R7" s="253">
        <f>Datipers!B25</f>
        <v>28</v>
      </c>
      <c r="S7" s="13"/>
      <c r="T7" s="232" t="s">
        <v>367</v>
      </c>
      <c r="U7" s="84"/>
      <c r="V7" s="253">
        <f>Datipers!C25</f>
        <v>2014</v>
      </c>
      <c r="W7" s="13"/>
      <c r="X7" s="674" t="s">
        <v>459</v>
      </c>
      <c r="Y7" s="676"/>
      <c r="Z7" s="20">
        <f>IF(V7&lt;2014,1,0)</f>
        <v>0</v>
      </c>
      <c r="AA7" s="13"/>
      <c r="AB7" s="611"/>
      <c r="AC7" s="612"/>
      <c r="AD7" s="612"/>
      <c r="AE7" s="612"/>
      <c r="AF7" s="613"/>
      <c r="AG7" s="13"/>
      <c r="AH7" s="13"/>
      <c r="AI7" s="13"/>
      <c r="AJ7" s="13"/>
      <c r="AK7" s="13"/>
      <c r="AL7" s="13"/>
      <c r="AM7" s="13"/>
      <c r="AN7" s="13"/>
      <c r="AO7" s="13"/>
      <c r="AP7" s="13"/>
      <c r="AQ7" s="13"/>
      <c r="AR7" s="13"/>
      <c r="AS7" s="13"/>
      <c r="AT7" s="13"/>
      <c r="AU7" s="13"/>
      <c r="AV7" s="13"/>
      <c r="AW7" s="13"/>
      <c r="AX7" s="13"/>
      <c r="AY7" s="13"/>
      <c r="AZ7" s="13"/>
    </row>
    <row r="8" spans="1:52" ht="12.7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614" t="s">
        <v>547</v>
      </c>
      <c r="AC8" s="615"/>
      <c r="AD8" s="615"/>
      <c r="AE8" s="615"/>
      <c r="AF8" s="616"/>
      <c r="AG8" s="13"/>
      <c r="AH8" s="13"/>
      <c r="AI8" s="13"/>
      <c r="AJ8" s="13"/>
      <c r="AK8" s="13"/>
      <c r="AL8" s="13"/>
      <c r="AM8" s="13"/>
      <c r="AN8" s="13"/>
      <c r="AO8" s="13"/>
      <c r="AP8" s="13"/>
      <c r="AQ8" s="13"/>
      <c r="AR8" s="13"/>
      <c r="AS8" s="13"/>
      <c r="AT8" s="13"/>
      <c r="AU8" s="13"/>
      <c r="AV8" s="13"/>
      <c r="AW8" s="13"/>
      <c r="AX8" s="13"/>
      <c r="AY8" s="13"/>
      <c r="AZ8" s="13"/>
    </row>
    <row r="9" spans="1:52" ht="12.75">
      <c r="A9" s="13"/>
      <c r="B9" s="13" t="s">
        <v>373</v>
      </c>
      <c r="C9" s="13"/>
      <c r="D9" s="13">
        <f>INT(N9/360)</f>
        <v>36</v>
      </c>
      <c r="E9" s="13">
        <f>ROUND(R9/30,0)</f>
        <v>11</v>
      </c>
      <c r="F9" s="13"/>
      <c r="G9" s="13"/>
      <c r="H9" s="13"/>
      <c r="I9" s="13"/>
      <c r="J9" s="13"/>
      <c r="K9" s="13"/>
      <c r="L9" s="232" t="s">
        <v>374</v>
      </c>
      <c r="M9" s="84"/>
      <c r="N9" s="434">
        <f>Datipers!D20*360+Datipers!E20*30+Datipers!F20</f>
        <v>13302</v>
      </c>
      <c r="O9" s="13"/>
      <c r="P9" s="232" t="s">
        <v>375</v>
      </c>
      <c r="Q9" s="84"/>
      <c r="R9" s="434">
        <f>N9-D9*360-1</f>
        <v>341</v>
      </c>
      <c r="S9" s="13"/>
      <c r="T9" s="13"/>
      <c r="U9" s="13"/>
      <c r="V9" s="13"/>
      <c r="W9" s="13"/>
      <c r="X9" s="13"/>
      <c r="Y9" s="13"/>
      <c r="Z9" s="13"/>
      <c r="AA9" s="13"/>
      <c r="AB9" s="617" t="s">
        <v>142</v>
      </c>
      <c r="AC9" s="617" t="s">
        <v>143</v>
      </c>
      <c r="AD9" s="618" t="s">
        <v>144</v>
      </c>
      <c r="AE9" s="618" t="s">
        <v>145</v>
      </c>
      <c r="AF9" s="618"/>
      <c r="AG9" s="13"/>
      <c r="AH9" s="13"/>
      <c r="AI9" s="13"/>
      <c r="AJ9" s="13"/>
      <c r="AK9" s="13"/>
      <c r="AL9" s="13"/>
      <c r="AM9" s="13"/>
      <c r="AN9" s="13"/>
      <c r="AO9" s="13"/>
      <c r="AP9" s="13"/>
      <c r="AQ9" s="13"/>
      <c r="AR9" s="13"/>
      <c r="AS9" s="13"/>
      <c r="AT9" s="13"/>
      <c r="AU9" s="13"/>
      <c r="AV9" s="13"/>
      <c r="AW9" s="13"/>
      <c r="AX9" s="13"/>
      <c r="AY9" s="13"/>
      <c r="AZ9" s="13"/>
    </row>
    <row r="10" spans="1:52" ht="12.75">
      <c r="A10" s="13"/>
      <c r="B10" s="13" t="s">
        <v>376</v>
      </c>
      <c r="C10" s="13"/>
      <c r="D10" s="435">
        <f>IF(V10&gt;80,80,V10)</f>
        <v>0.7445000000000002</v>
      </c>
      <c r="E10" s="436">
        <f>D10</f>
        <v>0.7445000000000002</v>
      </c>
      <c r="F10" s="13"/>
      <c r="G10" s="13"/>
      <c r="H10" s="13"/>
      <c r="I10" s="13"/>
      <c r="J10" s="13"/>
      <c r="K10" s="13"/>
      <c r="L10" s="232" t="s">
        <v>377</v>
      </c>
      <c r="M10" s="84"/>
      <c r="N10" s="148">
        <f>((D9-15)*1.8+35+E9*0.15)/100</f>
        <v>0.7445000000000002</v>
      </c>
      <c r="O10" s="13"/>
      <c r="P10" s="232" t="s">
        <v>378</v>
      </c>
      <c r="Q10" s="84"/>
      <c r="R10" s="148">
        <f>(D9*2.33333+E9*0.19444)/100</f>
        <v>0.8613872</v>
      </c>
      <c r="S10" s="13"/>
      <c r="T10" s="232" t="s">
        <v>379</v>
      </c>
      <c r="U10" s="84"/>
      <c r="V10" s="148">
        <f>IF(D9&gt;14,N10,R10)</f>
        <v>0.7445000000000002</v>
      </c>
      <c r="W10" s="13"/>
      <c r="X10" s="13"/>
      <c r="Y10" s="13"/>
      <c r="Z10" s="13"/>
      <c r="AA10" s="13"/>
      <c r="AB10" s="619">
        <v>0</v>
      </c>
      <c r="AC10" s="619">
        <v>46123</v>
      </c>
      <c r="AD10" s="620">
        <v>1</v>
      </c>
      <c r="AE10" s="619">
        <f>IF(AE5&gt;AC10,AC10,AE5)</f>
        <v>31273.02461958101</v>
      </c>
      <c r="AF10" s="619"/>
      <c r="AG10" s="13"/>
      <c r="AH10" s="13"/>
      <c r="AI10" s="13"/>
      <c r="AJ10" s="13"/>
      <c r="AK10" s="13"/>
      <c r="AL10" s="13"/>
      <c r="AM10" s="13"/>
      <c r="AN10" s="13"/>
      <c r="AO10" s="13"/>
      <c r="AP10" s="13"/>
      <c r="AQ10" s="13"/>
      <c r="AR10" s="13"/>
      <c r="AS10" s="13"/>
      <c r="AT10" s="13"/>
      <c r="AU10" s="13"/>
      <c r="AV10" s="13"/>
      <c r="AW10" s="13"/>
      <c r="AX10" s="13"/>
      <c r="AY10" s="13"/>
      <c r="AZ10" s="13"/>
    </row>
    <row r="11" spans="1:52" ht="12.75">
      <c r="A11" s="13"/>
      <c r="B11" s="13"/>
      <c r="C11" s="13"/>
      <c r="D11" s="435"/>
      <c r="E11" s="436"/>
      <c r="F11" s="13"/>
      <c r="G11" s="13"/>
      <c r="H11" s="13"/>
      <c r="I11" s="13"/>
      <c r="J11" s="13"/>
      <c r="K11" s="13"/>
      <c r="L11" s="257"/>
      <c r="M11" s="257"/>
      <c r="N11" s="437"/>
      <c r="O11" s="13"/>
      <c r="P11" s="257"/>
      <c r="Q11" s="257"/>
      <c r="R11" s="437"/>
      <c r="S11" s="13"/>
      <c r="T11" s="257"/>
      <c r="U11" s="257"/>
      <c r="V11" s="437"/>
      <c r="W11" s="13"/>
      <c r="X11" s="13"/>
      <c r="Y11" s="13"/>
      <c r="Z11" s="13"/>
      <c r="AA11" s="13"/>
      <c r="AB11" s="668">
        <f>AC10+0.01</f>
        <v>46123.01</v>
      </c>
      <c r="AC11" s="619">
        <f>AC10*AF11</f>
        <v>61343.590000000004</v>
      </c>
      <c r="AD11" s="620">
        <v>0.8</v>
      </c>
      <c r="AE11" s="619">
        <f>IF($AE$6&lt;AC10,0,IF($AE$6&gt;AC11,(AC11-AB11)*AD11,($AE$6-AC10)*AD11))</f>
        <v>0</v>
      </c>
      <c r="AF11" s="619">
        <v>1.33</v>
      </c>
      <c r="AG11" s="13"/>
      <c r="AH11" s="13"/>
      <c r="AI11" s="13"/>
      <c r="AJ11" s="13"/>
      <c r="AK11" s="13"/>
      <c r="AL11" s="13"/>
      <c r="AM11" s="13"/>
      <c r="AN11" s="13"/>
      <c r="AO11" s="13"/>
      <c r="AP11" s="13"/>
      <c r="AQ11" s="13"/>
      <c r="AR11" s="13"/>
      <c r="AS11" s="13"/>
      <c r="AT11" s="13"/>
      <c r="AU11" s="13"/>
      <c r="AV11" s="13"/>
      <c r="AW11" s="13"/>
      <c r="AX11" s="13"/>
      <c r="AY11" s="13"/>
      <c r="AZ11" s="13"/>
    </row>
    <row r="12" spans="1:52" ht="12.75">
      <c r="A12" s="13"/>
      <c r="B12" s="452" t="s">
        <v>384</v>
      </c>
      <c r="C12" s="151"/>
      <c r="D12" s="151"/>
      <c r="E12" s="151"/>
      <c r="F12" s="152"/>
      <c r="G12" s="13"/>
      <c r="H12" s="13"/>
      <c r="I12" s="13"/>
      <c r="J12" s="13"/>
      <c r="K12" s="13"/>
      <c r="L12" s="13"/>
      <c r="M12" s="13"/>
      <c r="N12" s="13"/>
      <c r="O12" s="13"/>
      <c r="P12" s="13"/>
      <c r="Q12" s="13"/>
      <c r="R12" s="13"/>
      <c r="S12" s="13"/>
      <c r="T12" s="13"/>
      <c r="U12" s="13"/>
      <c r="V12" s="13"/>
      <c r="W12" s="13"/>
      <c r="X12" s="13"/>
      <c r="Y12" s="13"/>
      <c r="Z12" s="13"/>
      <c r="AA12" s="13"/>
      <c r="AB12" s="668">
        <f>AC11+0.01</f>
        <v>61343.600000000006</v>
      </c>
      <c r="AC12" s="619">
        <f>AC10*AF12</f>
        <v>76564.18</v>
      </c>
      <c r="AD12" s="621">
        <v>0.675</v>
      </c>
      <c r="AE12" s="619">
        <f>IF($AE$6&lt;AC11,0,IF($AE$6&gt;AC12,(AC12-AB12)*AD12,($AE$6-AC11)*AD12))</f>
        <v>0</v>
      </c>
      <c r="AF12" s="619">
        <v>1.66</v>
      </c>
      <c r="AG12" s="13"/>
      <c r="AH12" s="13"/>
      <c r="AI12" s="13"/>
      <c r="AJ12" s="13"/>
      <c r="AK12" s="13"/>
      <c r="AL12" s="13"/>
      <c r="AM12" s="13"/>
      <c r="AN12" s="13"/>
      <c r="AO12" s="13"/>
      <c r="AP12" s="13"/>
      <c r="AQ12" s="13"/>
      <c r="AR12" s="13"/>
      <c r="AS12" s="13"/>
      <c r="AT12" s="13"/>
      <c r="AU12" s="13"/>
      <c r="AV12" s="13"/>
      <c r="AW12" s="13"/>
      <c r="AX12" s="13"/>
      <c r="AY12" s="13"/>
      <c r="AZ12" s="13"/>
    </row>
    <row r="13" spans="1:52" ht="12.75">
      <c r="A13" s="13"/>
      <c r="B13" s="374" t="s">
        <v>447</v>
      </c>
      <c r="C13" s="257"/>
      <c r="D13" s="257"/>
      <c r="E13" s="257"/>
      <c r="F13" s="439">
        <f>VLOOKUP(D7,Dati!A4:Q49,R13)</f>
        <v>20713.73</v>
      </c>
      <c r="G13" s="13"/>
      <c r="H13" s="13"/>
      <c r="I13" s="13"/>
      <c r="J13" s="13"/>
      <c r="K13" s="13"/>
      <c r="L13" s="232" t="s">
        <v>1</v>
      </c>
      <c r="M13" s="84"/>
      <c r="N13" s="253">
        <f>Datipers!C13</f>
        <v>5</v>
      </c>
      <c r="O13" s="13"/>
      <c r="P13" s="232" t="s">
        <v>368</v>
      </c>
      <c r="Q13" s="84"/>
      <c r="R13" s="253">
        <f>N13*2</f>
        <v>10</v>
      </c>
      <c r="S13" s="13"/>
      <c r="T13" s="13"/>
      <c r="U13" s="13"/>
      <c r="V13" s="13"/>
      <c r="W13" s="13"/>
      <c r="X13" s="13"/>
      <c r="Y13" s="13"/>
      <c r="Z13" s="13"/>
      <c r="AA13" s="13"/>
      <c r="AB13" s="668">
        <f>AC12+0.01</f>
        <v>76564.18999999999</v>
      </c>
      <c r="AC13" s="619">
        <f>AC10*AF13</f>
        <v>87633.7</v>
      </c>
      <c r="AD13" s="620">
        <v>0.55</v>
      </c>
      <c r="AE13" s="619">
        <f>IF($AE$6&lt;AC12,0,IF($AE$6&gt;AC13,(AC13-AB13)*AD13,($AE$6-AC12)*AD13))</f>
        <v>0</v>
      </c>
      <c r="AF13" s="619">
        <v>1.9</v>
      </c>
      <c r="AG13" s="13"/>
      <c r="AH13" s="13"/>
      <c r="AI13" s="13"/>
      <c r="AJ13" s="13"/>
      <c r="AK13" s="13"/>
      <c r="AL13" s="13"/>
      <c r="AM13" s="13"/>
      <c r="AN13" s="13"/>
      <c r="AO13" s="13"/>
      <c r="AP13" s="13"/>
      <c r="AQ13" s="13"/>
      <c r="AR13" s="13"/>
      <c r="AS13" s="13"/>
      <c r="AT13" s="13"/>
      <c r="AU13" s="13"/>
      <c r="AV13" s="13"/>
      <c r="AW13" s="13"/>
      <c r="AX13" s="13"/>
      <c r="AY13" s="13"/>
      <c r="AZ13" s="13"/>
    </row>
    <row r="14" spans="1:52" ht="12.75">
      <c r="A14" s="13"/>
      <c r="B14" s="438" t="s">
        <v>369</v>
      </c>
      <c r="C14" s="257"/>
      <c r="D14" s="257"/>
      <c r="E14" s="257"/>
      <c r="F14" s="439">
        <f>Datipers!B29*12</f>
        <v>0</v>
      </c>
      <c r="G14" s="13"/>
      <c r="H14" s="13"/>
      <c r="I14" s="13"/>
      <c r="J14" s="13"/>
      <c r="K14" s="13"/>
      <c r="L14" s="13"/>
      <c r="M14" s="13"/>
      <c r="N14" s="13"/>
      <c r="O14" s="13"/>
      <c r="P14" s="13"/>
      <c r="Q14" s="13"/>
      <c r="R14" s="13"/>
      <c r="S14" s="13"/>
      <c r="T14" s="13"/>
      <c r="U14" s="13"/>
      <c r="V14" s="13"/>
      <c r="W14" s="13"/>
      <c r="X14" s="13"/>
      <c r="Y14" s="13"/>
      <c r="Z14" s="13"/>
      <c r="AA14" s="13"/>
      <c r="AB14" s="668">
        <f>AC13</f>
        <v>87633.7</v>
      </c>
      <c r="AC14" s="619">
        <v>0</v>
      </c>
      <c r="AD14" s="620">
        <v>0.45</v>
      </c>
      <c r="AE14" s="619">
        <f>IF($AE$6&lt;AC13,0,($AE$6-AC13)*AD14)</f>
        <v>0</v>
      </c>
      <c r="AF14" s="619"/>
      <c r="AG14" s="13"/>
      <c r="AH14" s="13"/>
      <c r="AI14" s="13"/>
      <c r="AJ14" s="13"/>
      <c r="AK14" s="13"/>
      <c r="AL14" s="13"/>
      <c r="AM14" s="13"/>
      <c r="AN14" s="13"/>
      <c r="AO14" s="13"/>
      <c r="AP14" s="13"/>
      <c r="AQ14" s="13"/>
      <c r="AR14" s="13"/>
      <c r="AS14" s="13"/>
      <c r="AT14" s="13"/>
      <c r="AU14" s="13"/>
      <c r="AV14" s="13"/>
      <c r="AW14" s="13"/>
      <c r="AX14" s="13"/>
      <c r="AY14" s="13"/>
      <c r="AZ14" s="13"/>
    </row>
    <row r="15" spans="1:52" ht="12.75">
      <c r="A15" s="13"/>
      <c r="B15" s="438" t="s">
        <v>370</v>
      </c>
      <c r="C15" s="257"/>
      <c r="D15" s="257"/>
      <c r="E15" s="257"/>
      <c r="F15" s="440">
        <f>F13+F14</f>
        <v>20713.73</v>
      </c>
      <c r="G15" s="13"/>
      <c r="H15" s="13"/>
      <c r="I15" s="13"/>
      <c r="J15" s="13"/>
      <c r="K15" s="13"/>
      <c r="L15" s="13"/>
      <c r="M15" s="13"/>
      <c r="N15" s="13"/>
      <c r="O15" s="13"/>
      <c r="P15" s="13"/>
      <c r="Q15" s="13"/>
      <c r="R15" s="13"/>
      <c r="S15" s="13"/>
      <c r="T15" s="13"/>
      <c r="U15" s="13"/>
      <c r="V15" s="13"/>
      <c r="W15" s="13"/>
      <c r="X15" s="13"/>
      <c r="Y15" s="13"/>
      <c r="Z15" s="13"/>
      <c r="AA15" s="13"/>
      <c r="AB15" s="622"/>
      <c r="AC15" s="606"/>
      <c r="AD15" s="608"/>
      <c r="AE15" s="623"/>
      <c r="AF15" s="624"/>
      <c r="AG15" s="13"/>
      <c r="AH15" s="13"/>
      <c r="AI15" s="13"/>
      <c r="AJ15" s="13"/>
      <c r="AK15" s="13"/>
      <c r="AL15" s="13"/>
      <c r="AM15" s="13"/>
      <c r="AN15" s="13"/>
      <c r="AO15" s="13"/>
      <c r="AP15" s="13"/>
      <c r="AQ15" s="13"/>
      <c r="AR15" s="13"/>
      <c r="AS15" s="13"/>
      <c r="AT15" s="13"/>
      <c r="AU15" s="13"/>
      <c r="AV15" s="13"/>
      <c r="AW15" s="13"/>
      <c r="AX15" s="13"/>
      <c r="AY15" s="13"/>
      <c r="AZ15" s="13"/>
    </row>
    <row r="16" spans="1:52" ht="15.75">
      <c r="A16" s="13"/>
      <c r="B16" s="438" t="s">
        <v>371</v>
      </c>
      <c r="C16" s="257"/>
      <c r="D16" s="257"/>
      <c r="E16" s="257"/>
      <c r="F16" s="440">
        <f>F15*0.18</f>
        <v>3728.4714</v>
      </c>
      <c r="G16" s="13"/>
      <c r="H16" s="13"/>
      <c r="I16" s="13"/>
      <c r="J16" s="13"/>
      <c r="K16" s="13"/>
      <c r="L16" s="13"/>
      <c r="M16" s="13"/>
      <c r="N16" s="13"/>
      <c r="O16" s="13"/>
      <c r="P16" s="13"/>
      <c r="Q16" s="13"/>
      <c r="R16" s="13"/>
      <c r="S16" s="13"/>
      <c r="T16" s="13"/>
      <c r="U16" s="13"/>
      <c r="V16" s="13"/>
      <c r="W16" s="13"/>
      <c r="X16" s="13"/>
      <c r="Y16" s="13"/>
      <c r="Z16" s="13"/>
      <c r="AA16" s="13"/>
      <c r="AB16" s="625"/>
      <c r="AC16" s="626" t="s">
        <v>619</v>
      </c>
      <c r="AD16" s="616"/>
      <c r="AE16" s="627">
        <f>SUM(AE10:AE14)</f>
        <v>31273.02461958101</v>
      </c>
      <c r="AF16" s="627"/>
      <c r="AG16" s="13"/>
      <c r="AH16" s="13"/>
      <c r="AI16" s="13"/>
      <c r="AJ16" s="13"/>
      <c r="AK16" s="13"/>
      <c r="AL16" s="13"/>
      <c r="AM16" s="13"/>
      <c r="AN16" s="13"/>
      <c r="AO16" s="13"/>
      <c r="AP16" s="13"/>
      <c r="AQ16" s="13"/>
      <c r="AR16" s="13"/>
      <c r="AS16" s="13"/>
      <c r="AT16" s="13"/>
      <c r="AU16" s="13"/>
      <c r="AV16" s="13"/>
      <c r="AW16" s="13"/>
      <c r="AX16" s="13"/>
      <c r="AY16" s="13"/>
      <c r="AZ16" s="13"/>
    </row>
    <row r="17" spans="1:52" ht="12.75">
      <c r="A17" s="13"/>
      <c r="B17" s="438" t="s">
        <v>372</v>
      </c>
      <c r="C17" s="257"/>
      <c r="D17" s="257"/>
      <c r="E17" s="257"/>
      <c r="F17" s="439">
        <f>VLOOKUP(N13,Dati!S7:U14,3)</f>
        <v>6384.12</v>
      </c>
      <c r="G17" s="13"/>
      <c r="H17" s="13"/>
      <c r="I17" s="13"/>
      <c r="J17" s="13"/>
      <c r="K17" s="13"/>
      <c r="L17" s="13"/>
      <c r="M17" s="13"/>
      <c r="N17" s="13"/>
      <c r="O17" s="13"/>
      <c r="P17" s="13"/>
      <c r="Q17" s="13"/>
      <c r="R17" s="13"/>
      <c r="S17" s="13"/>
      <c r="T17" s="13"/>
      <c r="U17" s="13"/>
      <c r="V17" s="13"/>
      <c r="W17" s="13"/>
      <c r="X17" s="13"/>
      <c r="Y17" s="13"/>
      <c r="Z17" s="13"/>
      <c r="AA17" s="13"/>
      <c r="AB17" s="611"/>
      <c r="AC17" s="612" t="s">
        <v>550</v>
      </c>
      <c r="AD17" s="612"/>
      <c r="AE17" s="612"/>
      <c r="AF17" s="613"/>
      <c r="AG17" s="13"/>
      <c r="AH17" s="13"/>
      <c r="AI17" s="13"/>
      <c r="AJ17" s="13"/>
      <c r="AK17" s="13"/>
      <c r="AL17" s="13"/>
      <c r="AM17" s="13"/>
      <c r="AN17" s="13"/>
      <c r="AO17" s="13"/>
      <c r="AP17" s="13"/>
      <c r="AQ17" s="13"/>
      <c r="AR17" s="13"/>
      <c r="AS17" s="13"/>
      <c r="AT17" s="13"/>
      <c r="AU17" s="13"/>
      <c r="AV17" s="13"/>
      <c r="AW17" s="13"/>
      <c r="AX17" s="13"/>
      <c r="AY17" s="13"/>
      <c r="AZ17" s="13"/>
    </row>
    <row r="18" spans="1:52" ht="12.75">
      <c r="A18" s="13"/>
      <c r="B18" s="441" t="s">
        <v>407</v>
      </c>
      <c r="C18" s="442"/>
      <c r="D18" s="442"/>
      <c r="E18" s="442"/>
      <c r="F18" s="443">
        <f>SUM(F15:F17)</f>
        <v>30826.321399999997</v>
      </c>
      <c r="G18" s="13"/>
      <c r="H18" s="13"/>
      <c r="I18" s="13"/>
      <c r="J18" s="13"/>
      <c r="K18" s="13"/>
      <c r="L18" s="13"/>
      <c r="M18" s="13"/>
      <c r="N18" s="13"/>
      <c r="O18" s="13"/>
      <c r="P18" s="13"/>
      <c r="Q18" s="13"/>
      <c r="R18" s="13"/>
      <c r="S18" s="13"/>
      <c r="T18" s="13"/>
      <c r="U18" s="13"/>
      <c r="V18" s="13"/>
      <c r="W18" s="13"/>
      <c r="X18" s="13"/>
      <c r="Y18" s="13"/>
      <c r="Z18" s="13"/>
      <c r="AA18" s="13"/>
      <c r="AB18" s="611"/>
      <c r="AC18" s="612" t="s">
        <v>620</v>
      </c>
      <c r="AD18" s="612"/>
      <c r="AE18" s="631">
        <f>AC10</f>
        <v>46123</v>
      </c>
      <c r="AF18" s="613"/>
      <c r="AG18" s="13"/>
      <c r="AH18" s="13"/>
      <c r="AI18" s="13"/>
      <c r="AJ18" s="13"/>
      <c r="AK18" s="13"/>
      <c r="AL18" s="13"/>
      <c r="AM18" s="13"/>
      <c r="AN18" s="13"/>
      <c r="AO18" s="13"/>
      <c r="AP18" s="13"/>
      <c r="AQ18" s="13"/>
      <c r="AR18" s="13"/>
      <c r="AS18" s="13"/>
      <c r="AT18" s="13"/>
      <c r="AU18" s="13"/>
      <c r="AV18" s="13"/>
      <c r="AW18" s="13"/>
      <c r="AX18" s="13"/>
      <c r="AY18" s="13"/>
      <c r="AZ18" s="13"/>
    </row>
    <row r="19" spans="1:52" ht="12.75">
      <c r="A19" s="13"/>
      <c r="B19" s="438"/>
      <c r="C19" s="257"/>
      <c r="D19" s="257"/>
      <c r="E19" s="257"/>
      <c r="F19" s="111"/>
      <c r="G19" s="13"/>
      <c r="H19" s="13"/>
      <c r="I19" s="13"/>
      <c r="J19" s="13"/>
      <c r="K19" s="13"/>
      <c r="L19" s="13"/>
      <c r="M19" s="13"/>
      <c r="N19" s="13"/>
      <c r="O19" s="13"/>
      <c r="P19" s="13"/>
      <c r="Q19" s="13"/>
      <c r="R19" s="13"/>
      <c r="S19" s="13"/>
      <c r="T19" s="13"/>
      <c r="U19" s="13"/>
      <c r="V19" s="13"/>
      <c r="W19" s="13"/>
      <c r="X19" s="13"/>
      <c r="Y19" s="13"/>
      <c r="Z19" s="13"/>
      <c r="AA19" s="13"/>
      <c r="AB19" s="628" t="s">
        <v>548</v>
      </c>
      <c r="AC19" s="629"/>
      <c r="AD19" s="629"/>
      <c r="AE19" s="629"/>
      <c r="AF19" s="630"/>
      <c r="AG19" s="13"/>
      <c r="AH19" s="13"/>
      <c r="AI19" s="13"/>
      <c r="AJ19" s="13"/>
      <c r="AK19" s="13"/>
      <c r="AL19" s="13"/>
      <c r="AM19" s="13"/>
      <c r="AN19" s="13"/>
      <c r="AO19" s="13"/>
      <c r="AP19" s="13"/>
      <c r="AQ19" s="13"/>
      <c r="AR19" s="13"/>
      <c r="AS19" s="13"/>
      <c r="AT19" s="13"/>
      <c r="AU19" s="13"/>
      <c r="AV19" s="13"/>
      <c r="AW19" s="13"/>
      <c r="AX19" s="13"/>
      <c r="AY19" s="13"/>
      <c r="AZ19" s="13"/>
    </row>
    <row r="20" spans="1:52" ht="12.75">
      <c r="A20" s="13"/>
      <c r="B20" s="438" t="s">
        <v>383</v>
      </c>
      <c r="C20" s="257"/>
      <c r="D20" s="257">
        <f>INT(N20/360)</f>
        <v>17</v>
      </c>
      <c r="E20" s="257">
        <f>ROUND(R20/30,0)</f>
        <v>11</v>
      </c>
      <c r="F20" s="111"/>
      <c r="G20" s="13"/>
      <c r="H20" s="13"/>
      <c r="I20" s="13"/>
      <c r="J20" s="13"/>
      <c r="K20" s="13"/>
      <c r="L20" s="232" t="s">
        <v>381</v>
      </c>
      <c r="M20" s="84"/>
      <c r="N20" s="434">
        <f>Datipers!D21*360+Datipers!E21*30+Datipers!F21</f>
        <v>6462</v>
      </c>
      <c r="O20" s="13"/>
      <c r="P20" s="232" t="s">
        <v>375</v>
      </c>
      <c r="Q20" s="84"/>
      <c r="R20" s="434">
        <f>N20-D20*360-1</f>
        <v>341</v>
      </c>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row>
    <row r="21" spans="1:52" ht="12.75">
      <c r="A21" s="13"/>
      <c r="B21" s="438" t="s">
        <v>382</v>
      </c>
      <c r="C21" s="257"/>
      <c r="D21" s="437">
        <f>IF(V21&gt;80,80,V21)</f>
        <v>0.4025</v>
      </c>
      <c r="E21" s="444">
        <f>D21</f>
        <v>0.4025</v>
      </c>
      <c r="F21" s="111"/>
      <c r="G21" s="13"/>
      <c r="H21" s="13"/>
      <c r="I21" s="13"/>
      <c r="J21" s="13"/>
      <c r="K21" s="13"/>
      <c r="L21" s="232" t="s">
        <v>377</v>
      </c>
      <c r="M21" s="84"/>
      <c r="N21" s="148">
        <f>((D20-15)*1.8+35+E20*0.15)/100</f>
        <v>0.4025</v>
      </c>
      <c r="O21" s="13"/>
      <c r="P21" s="232" t="s">
        <v>378</v>
      </c>
      <c r="Q21" s="84"/>
      <c r="R21" s="148">
        <f>(D20*2.33333+E20*0.19444)/100</f>
        <v>0.41805450000000005</v>
      </c>
      <c r="S21" s="13"/>
      <c r="T21" s="232" t="s">
        <v>379</v>
      </c>
      <c r="U21" s="84"/>
      <c r="V21" s="148">
        <f>IF(D20&gt;14,N21,R21)</f>
        <v>0.4025</v>
      </c>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row>
    <row r="22" spans="1:52" ht="12.75">
      <c r="A22" s="13"/>
      <c r="B22" s="438"/>
      <c r="C22" s="257"/>
      <c r="D22" s="257"/>
      <c r="E22" s="257"/>
      <c r="F22" s="111"/>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row>
    <row r="23" spans="1:52" ht="12.75">
      <c r="A23" s="13"/>
      <c r="B23" s="445" t="s">
        <v>384</v>
      </c>
      <c r="C23" s="446"/>
      <c r="D23" s="446"/>
      <c r="E23" s="446"/>
      <c r="F23" s="447">
        <f>F18*E21</f>
        <v>12407.5943635</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row>
    <row r="24" spans="1:52" ht="12.7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1:52" ht="12.75">
      <c r="A25" s="13"/>
      <c r="B25" s="452" t="s">
        <v>401</v>
      </c>
      <c r="C25" s="151"/>
      <c r="D25" s="151"/>
      <c r="E25" s="151"/>
      <c r="F25" s="152"/>
      <c r="G25" s="13"/>
      <c r="H25" s="22" t="s">
        <v>391</v>
      </c>
      <c r="I25" s="476" t="s">
        <v>448</v>
      </c>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row>
    <row r="26" spans="1:52" ht="12.75">
      <c r="A26" s="13"/>
      <c r="B26" s="438" t="s">
        <v>387</v>
      </c>
      <c r="C26" s="448" t="s">
        <v>41</v>
      </c>
      <c r="D26" s="257"/>
      <c r="E26" s="257"/>
      <c r="F26" s="450">
        <f>IF(H26=0,AD26,H26)</f>
        <v>31273.02461958101</v>
      </c>
      <c r="G26" s="13"/>
      <c r="H26" s="494">
        <v>0</v>
      </c>
      <c r="I26" s="477" t="s">
        <v>449</v>
      </c>
      <c r="J26" s="13"/>
      <c r="K26" s="13"/>
      <c r="L26" s="232" t="s">
        <v>368</v>
      </c>
      <c r="M26" s="84"/>
      <c r="N26" s="253">
        <f>R13+1</f>
        <v>11</v>
      </c>
      <c r="O26" s="13"/>
      <c r="P26" s="232" t="s">
        <v>388</v>
      </c>
      <c r="Q26" s="84"/>
      <c r="R26" s="297">
        <f>VLOOKUP(D7,Dati!A4:Q49,N26)</f>
        <v>20714.059991848313</v>
      </c>
      <c r="S26" s="13"/>
      <c r="T26" s="232" t="s">
        <v>371</v>
      </c>
      <c r="U26" s="84"/>
      <c r="V26" s="297">
        <f>R26*0.18</f>
        <v>3728.5307985326963</v>
      </c>
      <c r="W26" s="13"/>
      <c r="X26" s="232" t="s">
        <v>389</v>
      </c>
      <c r="Y26" s="84"/>
      <c r="Z26" s="297">
        <f>VLOOKUP(N13,Dati!S18:U25,3)</f>
        <v>6830.433829200001</v>
      </c>
      <c r="AA26" s="13"/>
      <c r="AB26" s="232" t="s">
        <v>390</v>
      </c>
      <c r="AC26" s="84"/>
      <c r="AD26" s="297">
        <f>R26+V26+Z26</f>
        <v>31273.02461958101</v>
      </c>
      <c r="AE26" s="13"/>
      <c r="AF26" s="13"/>
      <c r="AG26" s="13"/>
      <c r="AH26" s="13"/>
      <c r="AI26" s="13"/>
      <c r="AJ26" s="13"/>
      <c r="AK26" s="13"/>
      <c r="AL26" s="13"/>
      <c r="AM26" s="13"/>
      <c r="AN26" s="13"/>
      <c r="AO26" s="13"/>
      <c r="AP26" s="13"/>
      <c r="AQ26" s="13"/>
      <c r="AR26" s="13"/>
      <c r="AS26" s="13"/>
      <c r="AT26" s="13"/>
      <c r="AU26" s="13"/>
      <c r="AV26" s="13"/>
      <c r="AW26" s="13"/>
      <c r="AX26" s="13"/>
      <c r="AY26" s="13"/>
      <c r="AZ26" s="13"/>
    </row>
    <row r="27" spans="1:52" ht="12.75">
      <c r="A27" s="13"/>
      <c r="B27" s="438"/>
      <c r="C27" s="257"/>
      <c r="D27" s="257"/>
      <c r="E27" s="257"/>
      <c r="F27" s="111"/>
      <c r="G27" s="13"/>
      <c r="H27" s="22" t="s">
        <v>3</v>
      </c>
      <c r="I27" s="22" t="s">
        <v>2</v>
      </c>
      <c r="J27" s="13"/>
      <c r="K27" s="13"/>
      <c r="L27" s="13"/>
      <c r="M27" s="13"/>
      <c r="N27" s="13"/>
      <c r="O27" s="13"/>
      <c r="P27" s="13"/>
      <c r="Q27" s="13"/>
      <c r="R27" s="13"/>
      <c r="S27" s="13"/>
      <c r="T27" s="13"/>
      <c r="U27" s="13"/>
      <c r="V27" s="13"/>
      <c r="W27" s="13"/>
      <c r="X27" s="13"/>
      <c r="Y27" s="13"/>
      <c r="Z27" s="13"/>
      <c r="AA27" s="13"/>
      <c r="AB27" s="232" t="s">
        <v>549</v>
      </c>
      <c r="AC27" s="84"/>
      <c r="AD27" s="297">
        <f>AE16</f>
        <v>31273.02461958101</v>
      </c>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1:52" ht="12.75">
      <c r="A28" s="13"/>
      <c r="B28" s="374" t="s">
        <v>22</v>
      </c>
      <c r="C28" s="448" t="s">
        <v>41</v>
      </c>
      <c r="D28" s="257">
        <f>IF(H28=0,N28,H28)</f>
        <v>22</v>
      </c>
      <c r="E28" s="257">
        <f>IF(I28=0,E20,I28)</f>
        <v>11</v>
      </c>
      <c r="F28" s="111"/>
      <c r="G28" s="13"/>
      <c r="H28" s="449">
        <v>0</v>
      </c>
      <c r="I28" s="449">
        <v>0</v>
      </c>
      <c r="J28" s="13"/>
      <c r="K28" s="13"/>
      <c r="L28" s="232" t="s">
        <v>392</v>
      </c>
      <c r="M28" s="84"/>
      <c r="N28" s="253">
        <f>D20+5</f>
        <v>22</v>
      </c>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1:52" ht="12.75">
      <c r="A29" s="13"/>
      <c r="B29" s="438" t="s">
        <v>396</v>
      </c>
      <c r="C29" s="257"/>
      <c r="D29" s="437">
        <f>IF(V29&gt;80,80,V29)</f>
        <v>0.4925</v>
      </c>
      <c r="E29" s="444">
        <f>D29</f>
        <v>0.4925</v>
      </c>
      <c r="F29" s="111"/>
      <c r="G29" s="13"/>
      <c r="H29" s="13"/>
      <c r="I29" s="13"/>
      <c r="J29" s="13"/>
      <c r="K29" s="13"/>
      <c r="L29" s="232" t="s">
        <v>377</v>
      </c>
      <c r="M29" s="84"/>
      <c r="N29" s="148">
        <f>((D28-15)*1.8+35+E28*0.15)/100</f>
        <v>0.4925</v>
      </c>
      <c r="O29" s="13"/>
      <c r="P29" s="232" t="s">
        <v>378</v>
      </c>
      <c r="Q29" s="84"/>
      <c r="R29" s="148">
        <f>(D28*2.33333+E28*0.19444)/100</f>
        <v>0.534721</v>
      </c>
      <c r="S29" s="13"/>
      <c r="T29" s="232" t="s">
        <v>379</v>
      </c>
      <c r="U29" s="84"/>
      <c r="V29" s="148">
        <f>IF(D28&gt;14,N29,R29)</f>
        <v>0.4925</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1:52" ht="12.75">
      <c r="A30" s="13"/>
      <c r="B30" s="438" t="s">
        <v>393</v>
      </c>
      <c r="C30" s="257"/>
      <c r="D30" s="437">
        <f>D29-D21</f>
        <v>0.08999999999999997</v>
      </c>
      <c r="E30" s="444">
        <f>E29-E21</f>
        <v>0.08999999999999997</v>
      </c>
      <c r="F30" s="111"/>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row>
    <row r="31" spans="1:52" ht="12.75">
      <c r="A31" s="13"/>
      <c r="B31" s="438" t="s">
        <v>394</v>
      </c>
      <c r="C31" s="257"/>
      <c r="D31" s="257"/>
      <c r="E31" s="257"/>
      <c r="F31" s="443">
        <f>F26*E30</f>
        <v>2814.57221576229</v>
      </c>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1:52" ht="12.75">
      <c r="A32" s="13"/>
      <c r="B32" s="438"/>
      <c r="C32" s="257"/>
      <c r="D32" s="257"/>
      <c r="E32" s="257"/>
      <c r="F32" s="111"/>
      <c r="G32" s="13"/>
      <c r="H32" s="13"/>
      <c r="I32" s="13"/>
      <c r="J32" s="13"/>
      <c r="K32" s="13"/>
      <c r="L32" s="20" t="s">
        <v>365</v>
      </c>
      <c r="M32" s="20"/>
      <c r="N32" s="253">
        <f>Datipers!E16</f>
        <v>2017</v>
      </c>
      <c r="O32" s="20">
        <v>3</v>
      </c>
      <c r="P32" s="20">
        <v>0</v>
      </c>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ht="12.75">
      <c r="A33" s="13"/>
      <c r="B33" s="441" t="s">
        <v>460</v>
      </c>
      <c r="C33" s="448" t="s">
        <v>41</v>
      </c>
      <c r="D33" s="257"/>
      <c r="E33" s="257"/>
      <c r="F33" s="439"/>
      <c r="G33" s="13"/>
      <c r="H33" s="13"/>
      <c r="I33" s="13"/>
      <c r="J33" s="13"/>
      <c r="K33" s="13"/>
      <c r="L33" s="20" t="s">
        <v>451</v>
      </c>
      <c r="M33" s="20"/>
      <c r="N33" s="253">
        <f>Datipers!C25</f>
        <v>2014</v>
      </c>
      <c r="O33" s="20">
        <v>9</v>
      </c>
      <c r="P33" s="20">
        <v>3</v>
      </c>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ht="12.75">
      <c r="A34" s="13"/>
      <c r="B34" s="438" t="s">
        <v>461</v>
      </c>
      <c r="C34" s="257"/>
      <c r="D34" s="257"/>
      <c r="E34" s="257"/>
      <c r="F34" s="443">
        <f>AE16</f>
        <v>31273.02461958101</v>
      </c>
      <c r="G34" s="13"/>
      <c r="H34" s="13"/>
      <c r="I34" s="13"/>
      <c r="J34" s="13"/>
      <c r="K34" s="13"/>
      <c r="L34" s="20" t="s">
        <v>450</v>
      </c>
      <c r="M34" s="20"/>
      <c r="N34" s="253">
        <f>Datipers!B25</f>
        <v>28</v>
      </c>
      <c r="O34" s="20">
        <v>15</v>
      </c>
      <c r="P34" s="20">
        <v>9</v>
      </c>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row>
    <row r="35" spans="1:52" ht="12.75">
      <c r="A35" s="13"/>
      <c r="B35" s="526" t="s">
        <v>493</v>
      </c>
      <c r="C35" s="257"/>
      <c r="D35" s="437">
        <f>D10-D29</f>
        <v>0.25200000000000017</v>
      </c>
      <c r="E35" s="444">
        <f>E10-E29</f>
        <v>0.25200000000000017</v>
      </c>
      <c r="F35" s="111"/>
      <c r="G35" s="13"/>
      <c r="H35" s="13"/>
      <c r="I35" s="13"/>
      <c r="J35" s="13"/>
      <c r="K35" s="13"/>
      <c r="L35" s="253">
        <f>N32-1</f>
        <v>2016</v>
      </c>
      <c r="M35" s="637">
        <f>VLOOKUP(N34,O32:P37,2)</f>
        <v>21</v>
      </c>
      <c r="N35" s="253">
        <f>IF(L35&gt;=N33,N34,M35)</f>
        <v>28</v>
      </c>
      <c r="O35" s="20">
        <v>21</v>
      </c>
      <c r="P35" s="20">
        <v>15</v>
      </c>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row>
    <row r="36" spans="1:52" ht="12.75">
      <c r="A36" s="13"/>
      <c r="B36" s="438" t="s">
        <v>397</v>
      </c>
      <c r="C36" s="257"/>
      <c r="D36" s="257"/>
      <c r="E36" s="257"/>
      <c r="F36" s="443">
        <f>F34*E35</f>
        <v>7880.80220413442</v>
      </c>
      <c r="G36" s="13"/>
      <c r="H36" s="13"/>
      <c r="I36" s="13"/>
      <c r="J36" s="13"/>
      <c r="K36" s="13"/>
      <c r="L36" s="253">
        <f>L35-1</f>
        <v>2015</v>
      </c>
      <c r="M36" s="20">
        <f>M35</f>
        <v>21</v>
      </c>
      <c r="N36" s="253">
        <f>IF(L36&gt;=N33,N34,M36)</f>
        <v>28</v>
      </c>
      <c r="O36" s="20">
        <v>28</v>
      </c>
      <c r="P36" s="20">
        <v>21</v>
      </c>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row>
    <row r="37" spans="1:52" ht="12.75">
      <c r="A37" s="13"/>
      <c r="B37" s="445" t="s">
        <v>401</v>
      </c>
      <c r="C37" s="446"/>
      <c r="D37" s="446"/>
      <c r="E37" s="446"/>
      <c r="F37" s="447">
        <f>F31+F36</f>
        <v>10695.37441989671</v>
      </c>
      <c r="G37" s="13"/>
      <c r="H37" s="13"/>
      <c r="I37" s="13"/>
      <c r="J37" s="13"/>
      <c r="K37" s="13"/>
      <c r="L37" s="253">
        <f>L36-1</f>
        <v>2014</v>
      </c>
      <c r="M37" s="20">
        <f>M36</f>
        <v>21</v>
      </c>
      <c r="N37" s="253">
        <f>IF(L37&gt;=N33,N34,M37)</f>
        <v>28</v>
      </c>
      <c r="O37" s="20">
        <v>35</v>
      </c>
      <c r="P37" s="20">
        <v>28</v>
      </c>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row>
    <row r="38" spans="1:52" ht="12.75">
      <c r="A38" s="13"/>
      <c r="B38" s="13"/>
      <c r="C38" s="13"/>
      <c r="D38" s="13"/>
      <c r="E38" s="13"/>
      <c r="F38" s="13"/>
      <c r="G38" s="13"/>
      <c r="H38" s="13"/>
      <c r="I38" s="13"/>
      <c r="J38" s="13"/>
      <c r="K38" s="13"/>
      <c r="L38" s="253">
        <f>L37-1</f>
        <v>2013</v>
      </c>
      <c r="M38" s="20">
        <f>M37</f>
        <v>21</v>
      </c>
      <c r="N38" s="253">
        <f>IF(L38&gt;=N33,N34,M38)</f>
        <v>21</v>
      </c>
      <c r="O38" s="20"/>
      <c r="P38" s="20"/>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row>
    <row r="39" spans="1:52" ht="12.75">
      <c r="A39" s="13"/>
      <c r="B39" s="452" t="s">
        <v>398</v>
      </c>
      <c r="C39" s="151"/>
      <c r="D39" s="151"/>
      <c r="E39" s="151"/>
      <c r="F39" s="152"/>
      <c r="G39" s="13"/>
      <c r="H39" s="13"/>
      <c r="I39" s="13"/>
      <c r="J39" s="13"/>
      <c r="K39" s="13"/>
      <c r="L39" s="253">
        <f>L38-1</f>
        <v>2012</v>
      </c>
      <c r="M39" s="20">
        <f>M38</f>
        <v>21</v>
      </c>
      <c r="N39" s="253">
        <f>IF(L39&gt;=N33,N35,M39)</f>
        <v>21</v>
      </c>
      <c r="O39" s="20"/>
      <c r="P39" s="20"/>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row>
    <row r="40" spans="1:52" ht="12.75">
      <c r="A40" s="13"/>
      <c r="B40" s="438" t="s">
        <v>408</v>
      </c>
      <c r="C40" s="257"/>
      <c r="D40" s="257"/>
      <c r="E40" s="257"/>
      <c r="F40" s="440">
        <f>F23+F37</f>
        <v>23102.96878339671</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1:52" ht="12.75">
      <c r="A41" s="13"/>
      <c r="B41" s="438" t="s">
        <v>399</v>
      </c>
      <c r="C41" s="257"/>
      <c r="D41" s="257">
        <f>Contributivo!W33</f>
        <v>65</v>
      </c>
      <c r="E41" s="451">
        <f>Contributivo!W34</f>
        <v>6</v>
      </c>
      <c r="F41" s="111"/>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1:52" ht="12.75">
      <c r="A42" s="13"/>
      <c r="B42" s="438" t="s">
        <v>400</v>
      </c>
      <c r="C42" s="257"/>
      <c r="D42" s="437">
        <f>Contributivo!AB36</f>
        <v>0</v>
      </c>
      <c r="E42" s="257"/>
      <c r="F42" s="440">
        <f>F40*D42</f>
        <v>0</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1:52" ht="12.75">
      <c r="A43" s="13"/>
      <c r="B43" s="445" t="s">
        <v>409</v>
      </c>
      <c r="C43" s="446"/>
      <c r="D43" s="446"/>
      <c r="E43" s="446"/>
      <c r="F43" s="447">
        <f>F40-F42</f>
        <v>23102.96878339671</v>
      </c>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row>
    <row r="44" spans="1:52" ht="12.7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52" ht="12.75">
      <c r="A45" s="13"/>
      <c r="B45" s="452" t="s">
        <v>546</v>
      </c>
      <c r="C45" s="151"/>
      <c r="D45" s="151"/>
      <c r="E45" s="151"/>
      <c r="F45" s="152"/>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1:52" ht="12.75">
      <c r="A46" s="13"/>
      <c r="B46" s="374" t="s">
        <v>270</v>
      </c>
      <c r="C46" s="257"/>
      <c r="D46" s="257"/>
      <c r="E46" s="257"/>
      <c r="F46" s="440">
        <f>Contributivo!AW20</f>
        <v>60543.48006114382</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row>
    <row r="47" spans="1:52" ht="12.75">
      <c r="A47" s="13"/>
      <c r="B47" s="374" t="s">
        <v>256</v>
      </c>
      <c r="C47" s="257"/>
      <c r="D47" s="257">
        <f>Contributivo!AF36</f>
        <v>5.4159999999999995</v>
      </c>
      <c r="E47" s="444">
        <f>D47/100</f>
        <v>0.05415999999999999</v>
      </c>
      <c r="F47" s="111"/>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1:52" ht="12.75">
      <c r="A48" s="13"/>
      <c r="B48" s="445" t="s">
        <v>402</v>
      </c>
      <c r="C48" s="448" t="s">
        <v>41</v>
      </c>
      <c r="D48" s="416"/>
      <c r="E48" s="416"/>
      <c r="F48" s="447">
        <f>F46*E47/13*12</f>
        <v>3026.8014277952757</v>
      </c>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row>
    <row r="49" spans="1:52" ht="12.7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row>
    <row r="50" spans="1:52" ht="15.75">
      <c r="A50" s="13"/>
      <c r="B50" s="453" t="s">
        <v>403</v>
      </c>
      <c r="C50" s="453"/>
      <c r="D50" s="453"/>
      <c r="E50" s="453"/>
      <c r="F50" s="454">
        <f>F43+F48</f>
        <v>26129.770211191986</v>
      </c>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row>
    <row r="51" spans="1:52" ht="15.75">
      <c r="A51" s="13"/>
      <c r="B51" s="453" t="s">
        <v>404</v>
      </c>
      <c r="C51" s="453"/>
      <c r="D51" s="453"/>
      <c r="E51" s="453"/>
      <c r="F51" s="454">
        <f>F50/12</f>
        <v>2177.4808509326654</v>
      </c>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row>
    <row r="52" spans="1:52"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row>
    <row r="53" spans="1:52"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row>
    <row r="54" spans="1:52"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row>
    <row r="55" spans="1:52"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row>
    <row r="56" spans="1:52" ht="1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row>
    <row r="57" spans="1:52" ht="1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row>
    <row r="58" spans="1:52" ht="1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row>
    <row r="60" spans="1:52" ht="1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row>
    <row r="61" spans="1:52"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row>
    <row r="62" spans="1:52"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row>
    <row r="63" spans="1:52"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row>
    <row r="64" spans="1:52"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row>
    <row r="65" spans="1:52"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row>
    <row r="66" spans="1:52"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row>
    <row r="67" spans="1:52"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row>
    <row r="68" spans="1:52"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row>
    <row r="69" spans="1:52"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row>
    <row r="70" spans="1:52"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row>
    <row r="71" spans="1:52"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row>
    <row r="72" spans="1:52"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row r="73" spans="1:52"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row>
    <row r="74" spans="1:52"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row>
    <row r="75" spans="1:52"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row>
    <row r="76" spans="1:52"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row>
    <row r="80" spans="1:52"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row>
    <row r="81" spans="1:52"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row>
    <row r="82" spans="1:52"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row>
    <row r="83" spans="1:52"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row>
    <row r="84" spans="1:52"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row>
    <row r="85" spans="1:52"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row>
    <row r="86" spans="1:52"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row>
    <row r="87" spans="1:52" ht="1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row>
    <row r="88" spans="1:52" ht="1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row>
    <row r="89" spans="1:52" ht="1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row>
    <row r="90" spans="1:52" ht="1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row>
    <row r="91" spans="1:52" ht="1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row>
    <row r="92" spans="1:52" ht="1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row>
    <row r="93" spans="1:52" ht="1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row>
    <row r="94" spans="1:52" ht="1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row>
    <row r="95" spans="1:52" ht="1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row>
    <row r="96" spans="1:52" ht="1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row>
    <row r="97" spans="1:52" ht="1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row>
    <row r="98" spans="1:52" ht="1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row>
    <row r="99" spans="1:52" ht="1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row>
    <row r="100" spans="1:52" ht="1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row>
    <row r="101" spans="1:52" ht="1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row>
    <row r="102" spans="1:52" ht="1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row>
    <row r="103" spans="1:52" ht="1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row>
    <row r="104" spans="1:52" ht="1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row>
    <row r="105" spans="1:52" ht="1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row>
    <row r="106" spans="1:52" ht="1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row>
    <row r="107" spans="1:52" ht="1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row>
    <row r="108" spans="1:52" ht="1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row>
    <row r="109" spans="1:52" ht="1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row>
    <row r="110" spans="1:52" ht="1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row>
    <row r="111" spans="1:52" ht="1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row>
    <row r="112" spans="1:52" ht="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row>
    <row r="113" spans="1:52" ht="1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row>
    <row r="114" spans="1:52" ht="1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row>
    <row r="115" spans="1:52" ht="1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row>
    <row r="116" spans="1:52" ht="1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row>
    <row r="117" spans="1:52" ht="1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row>
    <row r="118" spans="1:52" ht="1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row>
    <row r="119" spans="1:52" ht="1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row>
    <row r="120" spans="1:52" ht="1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row>
    <row r="121" spans="1:52" ht="1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row>
    <row r="122" spans="1:52" ht="1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row>
    <row r="123" spans="1:52" ht="1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row>
    <row r="124" spans="1:52" ht="1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row>
    <row r="125" spans="1:52" ht="1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row>
    <row r="126" spans="1:52" ht="1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row>
    <row r="127" spans="1:52" ht="1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row>
    <row r="128" spans="1:52" ht="1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row>
    <row r="129" spans="1:52" ht="1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row>
    <row r="130" spans="1:52" ht="1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row>
    <row r="131" spans="1:52" ht="1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row>
    <row r="132" spans="1:52" ht="1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row>
    <row r="133" spans="1:52" ht="1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row>
    <row r="134" spans="1:52" ht="1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row>
    <row r="135" spans="1:52" ht="1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row>
    <row r="136" spans="1:52" ht="1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row>
    <row r="137" spans="1:52" ht="1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row>
    <row r="138" spans="1:52" ht="1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row>
    <row r="139" spans="1:52" ht="1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row>
    <row r="140" spans="1:52" ht="1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row>
    <row r="141" spans="1:52" ht="1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row>
    <row r="142" spans="1:52" ht="1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row>
    <row r="143" spans="1:52" ht="1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row>
    <row r="144" spans="1:52" ht="1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row>
    <row r="145" spans="1:52" ht="1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row>
    <row r="146" spans="1:52" ht="1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row>
    <row r="147" spans="1:52" ht="1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row>
    <row r="148" spans="1:52" ht="1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row>
    <row r="149" spans="1:52" ht="1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row>
    <row r="150" spans="1:52" ht="1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row>
    <row r="151" spans="1:52" ht="1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row>
    <row r="152" spans="1:52" ht="1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row>
    <row r="153" spans="1:52" ht="1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row>
    <row r="154" spans="1:52" ht="1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row>
    <row r="155" spans="1:52" ht="1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row>
    <row r="156" spans="1:52" ht="1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row>
    <row r="157" spans="1:52" ht="1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row>
    <row r="158" spans="1:52" ht="1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row>
    <row r="159" spans="1:52" ht="1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row>
    <row r="160" spans="1:52" ht="1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row>
    <row r="161" spans="1:52" ht="1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row>
    <row r="162" spans="1:52" ht="1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1:52" ht="1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1:52" ht="1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row>
    <row r="165" spans="1:52" ht="1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row>
    <row r="166" spans="1:52" ht="1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row>
    <row r="167" spans="1:52" ht="1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row>
    <row r="168" spans="1:52" ht="1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row>
    <row r="169" spans="1:52" ht="1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row>
    <row r="170" spans="1:52" ht="1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row>
    <row r="171" spans="1:52" ht="1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row>
    <row r="172" spans="1:52" ht="1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row>
    <row r="173" spans="1:52" ht="1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row>
    <row r="174" spans="1:52" ht="1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row>
    <row r="175" spans="1:52" ht="1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row>
    <row r="176" spans="1:52" ht="1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row>
    <row r="177" spans="1:52" ht="1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row>
    <row r="178" spans="1:52" ht="1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row>
    <row r="179" spans="1:52" ht="1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row>
    <row r="180" spans="1:52" ht="1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row>
    <row r="181" spans="1:52" ht="1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row>
    <row r="182" spans="1:52" ht="1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row>
    <row r="183" spans="1:52" ht="1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row>
    <row r="184" spans="1:52" ht="1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row>
    <row r="185" spans="1:52" ht="1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row>
    <row r="186" spans="1:52" ht="1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row>
    <row r="187" spans="1:52" ht="1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row>
    <row r="188" spans="1:52" ht="1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row>
    <row r="189" spans="1:52" ht="1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row>
    <row r="190" spans="1:52" ht="1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row>
    <row r="191" spans="1:52" ht="1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row>
    <row r="192" spans="1:52" ht="1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row>
    <row r="193" spans="1:52" ht="1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row>
    <row r="194" spans="1:52" ht="1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row>
    <row r="195" spans="1:52" ht="1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row>
    <row r="196" spans="1:52" ht="1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row>
    <row r="197" spans="1:52" ht="1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row>
    <row r="198" spans="1:52" ht="1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row>
    <row r="199" spans="1:52" ht="1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row>
    <row r="200" spans="1:52" ht="1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row>
    <row r="201" spans="1:52" ht="1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row>
    <row r="202" spans="1:52" ht="1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row>
    <row r="203" spans="1:52" ht="1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row>
    <row r="204" spans="1:52" ht="1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row>
    <row r="205" spans="1:52" ht="1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row>
    <row r="206" spans="1:52" ht="1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row>
    <row r="207" spans="1:52" ht="1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row>
    <row r="208" spans="1:52" ht="1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row>
    <row r="209" spans="1:52" ht="1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row>
    <row r="210" spans="1:52" ht="1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row>
    <row r="211" spans="1:52" ht="1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row>
    <row r="212" spans="1:52" ht="1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row>
    <row r="213" spans="1:52" ht="1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row>
    <row r="214" spans="1:52" ht="1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row>
    <row r="215" spans="1:52" ht="1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row>
    <row r="216" spans="1:52" ht="1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row>
    <row r="217" spans="1:52" ht="1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row>
    <row r="218" spans="1:52" ht="1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row>
    <row r="219" spans="1:52" ht="1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row>
    <row r="220" spans="1:52" ht="1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row>
    <row r="221" spans="1:52" ht="1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row>
    <row r="222" spans="1:52" ht="1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row>
    <row r="223" spans="1:52" ht="1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row>
    <row r="224" spans="1:52" ht="1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row>
    <row r="225" spans="1:52" ht="1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row>
    <row r="226" spans="1:52" ht="1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row>
    <row r="227" spans="1:52" ht="1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row>
    <row r="228" spans="1:52" ht="1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row>
    <row r="229" spans="1:52" ht="1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row>
    <row r="230" spans="1:52" ht="1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row>
    <row r="231" spans="1:52" ht="1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row>
    <row r="232" spans="1:52" ht="1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row>
    <row r="233" spans="1:52" ht="1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row>
    <row r="234" spans="1:52" ht="1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row>
    <row r="235" spans="1:52" ht="1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row>
    <row r="236" spans="1:52" ht="1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row>
    <row r="237" spans="1:52" ht="1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row>
    <row r="238" spans="1:52" ht="1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row>
    <row r="239" spans="1:52" ht="1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row>
    <row r="240" spans="1:52" ht="1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row>
    <row r="241" spans="1:52" ht="1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row>
    <row r="242" spans="1:52" ht="1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row>
    <row r="243" spans="1:52" ht="1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row>
    <row r="244" spans="1:52" ht="1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row>
    <row r="245" spans="1:52" ht="1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row>
    <row r="246" spans="1:52" ht="1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row>
    <row r="247" spans="1:52" ht="1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row>
    <row r="248" spans="1:52" ht="1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row>
    <row r="249" spans="1:52" ht="1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row>
    <row r="250" spans="1:52" ht="1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row>
    <row r="251" spans="1:52" ht="1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row>
    <row r="252" spans="1:52" ht="1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row>
    <row r="253" spans="1:52" ht="1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row>
    <row r="254" spans="1:52" ht="1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row>
    <row r="255" spans="1:52" ht="1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row>
    <row r="256" spans="1:52" ht="1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row>
    <row r="257" spans="1:52" ht="1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row>
    <row r="258" spans="1:52" ht="1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row>
    <row r="259" spans="1:52" ht="1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row>
    <row r="260" spans="1:52" ht="1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row>
    <row r="261" spans="1:52" ht="1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row>
    <row r="262" spans="1:52" ht="1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row>
    <row r="263" spans="1:52" ht="1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row>
    <row r="264" spans="1:52" ht="1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row>
    <row r="265" spans="1:52" ht="1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row>
    <row r="266" spans="1:52" ht="1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row>
    <row r="267" spans="1:52" ht="1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row>
    <row r="268" spans="1:52" ht="1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row>
    <row r="269" spans="1:52" ht="1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row>
    <row r="270" spans="1:52" ht="1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row>
    <row r="271" spans="1:52" ht="1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row>
    <row r="272" spans="1:52" ht="1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row>
    <row r="273" spans="1:52" ht="1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row>
    <row r="274" spans="1:52" ht="1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row>
    <row r="275" spans="1:52" ht="1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row>
    <row r="276" spans="1:52" ht="1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row>
    <row r="277" spans="1:52" ht="1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row>
    <row r="278" spans="1:52" ht="1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row>
    <row r="279" spans="1:52" ht="1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row>
    <row r="280" spans="1:52" ht="1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row>
    <row r="281" spans="1:52" ht="1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row>
    <row r="282" spans="1:52" ht="1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row>
    <row r="283" spans="1:52" ht="1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row>
    <row r="284" spans="1:52" ht="1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row>
    <row r="285" spans="1:52" ht="1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row>
    <row r="286" spans="1:52" ht="1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row>
    <row r="287" spans="1:52" ht="1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row>
    <row r="288" spans="1:52" ht="1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row>
    <row r="289" spans="1:52" ht="1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row>
    <row r="290" spans="1:52" ht="1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row>
    <row r="291" spans="1:52" ht="1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row>
    <row r="292" spans="1:52" ht="1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row>
    <row r="293" spans="1:52" ht="1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row>
    <row r="294" spans="1:52" ht="1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row>
    <row r="295" spans="1:52" ht="1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row>
    <row r="296" spans="1:52" ht="1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row>
    <row r="297" spans="1:52" ht="1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row>
    <row r="298" spans="1:52" ht="1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row>
    <row r="299" spans="1:52" ht="1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row>
    <row r="300" spans="1:52" ht="1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row>
    <row r="301" spans="1:52" ht="1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row>
    <row r="302" spans="1:52" ht="1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row>
    <row r="303" spans="1:52" ht="1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row>
    <row r="304" spans="1:52" ht="1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row>
    <row r="305" spans="1:52" ht="1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row>
    <row r="306" spans="1:52" ht="1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row>
    <row r="307" spans="1:52" ht="1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row>
    <row r="308" spans="1:52" ht="1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row>
    <row r="309" spans="1:52" ht="1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row>
    <row r="310" spans="1:52" ht="1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row>
    <row r="311" spans="1:52" ht="1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row>
    <row r="312" spans="1:52" ht="1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row>
    <row r="313" spans="1:52" ht="1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row>
    <row r="314" spans="1:52" ht="1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row>
    <row r="315" spans="1:52" ht="1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row>
    <row r="316" spans="1:52" ht="1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row>
    <row r="317" spans="1:52" ht="1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row>
    <row r="318" spans="1:52" ht="1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row>
    <row r="319" spans="1:52" ht="1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row>
    <row r="320" spans="1:52" ht="1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row>
    <row r="321" spans="1:52" ht="1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row>
    <row r="322" spans="1:52" ht="1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row>
    <row r="323" spans="1:52" ht="1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row>
    <row r="324" spans="1:52" ht="1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row>
    <row r="325" spans="1:52" ht="1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row>
    <row r="326" spans="1:52" ht="1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row>
    <row r="327" spans="1:52" ht="1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row>
    <row r="328" spans="1:52" ht="1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row>
    <row r="329" spans="1:52" ht="1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row>
    <row r="330" spans="1:52" ht="1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row>
    <row r="331" spans="1:52" ht="1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row>
    <row r="332" spans="1:52" ht="1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row>
    <row r="333" spans="1:52" ht="1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row>
    <row r="334" spans="1:52" ht="1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row>
    <row r="335" spans="1:52" ht="1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row>
    <row r="336" spans="1:52" ht="1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row>
    <row r="337" spans="1:52" ht="1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row>
    <row r="338" spans="1:52" ht="1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row>
    <row r="339" spans="1:52" ht="1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row>
    <row r="340" spans="1:52" ht="1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row>
    <row r="341" spans="1:52" ht="1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row>
    <row r="342" spans="1:52" ht="1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row>
    <row r="343" spans="1:52" ht="1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row>
    <row r="344" spans="1:52" ht="1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row>
    <row r="345" spans="1:52" ht="1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row>
    <row r="346" spans="1:52" ht="1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row>
    <row r="347" spans="1:52" ht="1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row>
    <row r="348" spans="1:52" ht="1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row>
    <row r="349" spans="1:52" ht="1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row>
    <row r="350" spans="1:52" ht="1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row>
    <row r="351" spans="1:52" ht="1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row>
    <row r="352" spans="1:52" ht="1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row>
    <row r="353" spans="1:52" ht="1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row>
    <row r="354" spans="1:52" ht="1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row>
    <row r="355" spans="1:52" ht="1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row>
    <row r="356" spans="1:52" ht="1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row>
    <row r="357" spans="1:52" ht="1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row>
    <row r="358" spans="1:52" ht="1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row>
    <row r="359" spans="1:52" ht="1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row>
    <row r="360" spans="1:52" ht="1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row>
    <row r="361" spans="1:52" ht="1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row>
    <row r="362" spans="1:52" ht="1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row>
    <row r="363" spans="1:52" ht="1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row>
    <row r="364" spans="1:52" ht="1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row>
    <row r="365" spans="1:52" ht="1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row>
    <row r="366" spans="1:52" ht="1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row>
    <row r="367" spans="1:52" ht="1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row>
    <row r="368" spans="1:52" ht="1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row>
    <row r="369" spans="1:52" ht="1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row>
    <row r="370" spans="1:52" ht="1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row>
    <row r="371" spans="1:52" ht="1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row>
    <row r="372" spans="1:52" ht="1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row>
    <row r="373" spans="1:52" ht="1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row>
    <row r="374" spans="1:52" ht="1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row>
    <row r="375" spans="1:52" ht="1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row>
    <row r="376" spans="1:52" ht="1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row>
    <row r="377" spans="1:52" ht="1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row>
    <row r="378" spans="1:52" ht="1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row>
    <row r="379" spans="1:52" ht="1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row>
    <row r="380" spans="1:52" ht="1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row>
    <row r="381" spans="1:52" ht="1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row>
    <row r="382" spans="1:52" ht="1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row>
    <row r="383" spans="1:52" ht="1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row>
    <row r="384" spans="1:52" ht="1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row>
    <row r="385" spans="1:52" ht="1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row>
    <row r="386" spans="1:52" ht="1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row>
    <row r="387" spans="1:52" ht="1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row>
    <row r="388" spans="1:52" ht="1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row>
    <row r="389" spans="1:52" ht="1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row>
    <row r="390" spans="1:52" ht="1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row>
    <row r="391" spans="1:52" ht="1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row>
    <row r="392" spans="1:52" ht="1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row>
    <row r="393" spans="1:52" ht="1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row>
    <row r="394" spans="1:52" ht="1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row>
    <row r="395" spans="1:52" ht="1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row>
    <row r="396" spans="1:52" ht="1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row>
    <row r="397" spans="1:52" ht="1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row>
    <row r="398" spans="1:52" ht="1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row>
    <row r="399" spans="1:52" ht="1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row>
    <row r="400" spans="1:52" ht="1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row>
    <row r="401" spans="1:52" ht="1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row>
    <row r="402" spans="1:52" ht="1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row>
    <row r="403" spans="1:52" ht="1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row>
    <row r="404" spans="1:52" ht="1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row>
    <row r="405" spans="1:52" ht="1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row>
    <row r="406" spans="1:52" ht="1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row>
    <row r="407" spans="1:52" ht="1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row>
    <row r="408" spans="1:52" ht="1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row>
    <row r="409" spans="1:52" ht="1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row>
    <row r="410" spans="1:52" ht="1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row>
    <row r="411" spans="1:52" ht="1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row>
    <row r="412" spans="1:52" ht="1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row>
    <row r="413" spans="1:52" ht="1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row>
    <row r="414" spans="1:52" ht="1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row>
    <row r="415" spans="1:52" ht="1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row>
    <row r="416" spans="1:52" ht="1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row>
    <row r="417" spans="1:52" ht="1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row>
    <row r="418" spans="1:52" ht="1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row>
    <row r="419" spans="1:52" ht="1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row>
    <row r="420" spans="1:52" ht="1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row>
    <row r="421" spans="1:52" ht="1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row>
    <row r="422" spans="1:52" ht="1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row>
    <row r="423" spans="1:52" ht="1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row>
    <row r="424" spans="1:52" ht="1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row>
    <row r="425" spans="1:52" ht="1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row>
    <row r="426" spans="1:52" ht="1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row>
    <row r="427" spans="1:52" ht="1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row>
    <row r="428" spans="1:52" ht="1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row>
    <row r="429" spans="1:52" ht="1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row>
    <row r="430" spans="1:52" ht="1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row>
    <row r="431" spans="1:52" ht="1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row>
    <row r="432" spans="1:52" ht="1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row>
    <row r="433" spans="1:52" ht="1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row>
    <row r="434" spans="1:52" ht="1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row>
    <row r="435" spans="1:52" ht="1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row>
    <row r="436" spans="1:52" ht="1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row>
    <row r="437" spans="1:52" ht="1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row>
    <row r="438" spans="1:52" ht="1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row>
    <row r="439" spans="1:52" ht="1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row>
    <row r="440" spans="1:52" ht="1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row>
    <row r="441" spans="1:52" ht="1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row>
    <row r="442" spans="1:52" ht="1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row>
    <row r="443" spans="1:52" ht="1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row>
    <row r="444" spans="1:52" ht="1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row>
    <row r="445" spans="1:52" ht="1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row>
    <row r="446" spans="1:52" ht="1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row>
    <row r="447" spans="1:52" ht="1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row>
    <row r="448" spans="1:52" ht="1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row>
    <row r="449" spans="1:52" ht="1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row>
    <row r="450" spans="1:52" ht="1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row>
    <row r="451" spans="1:52" ht="1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row>
    <row r="452" spans="1:52" ht="1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row>
    <row r="453" spans="1:52" ht="1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row>
    <row r="454" spans="1:52" ht="1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row>
    <row r="455" spans="1:52" ht="1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row>
    <row r="456" spans="1:52" ht="1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row>
    <row r="457" spans="1:52" ht="1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row>
    <row r="458" spans="1:52" ht="1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row>
    <row r="459" spans="1:52" ht="1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row>
    <row r="460" spans="1:52" ht="1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row>
    <row r="461" spans="1:52" ht="1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row>
    <row r="462" spans="1:52" ht="1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row>
    <row r="463" spans="1:52" ht="1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row>
    <row r="464" spans="1:52" ht="1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row>
    <row r="465" spans="1:52" ht="1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row>
    <row r="466" spans="1:52" ht="1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row>
    <row r="467" spans="1:52" ht="1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row>
    <row r="468" spans="1:52" ht="1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row>
    <row r="469" spans="1:52" ht="1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row>
    <row r="470" spans="1:52" ht="1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row>
    <row r="471" spans="1:52" ht="1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row>
    <row r="472" spans="1:52" ht="1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row>
    <row r="473" spans="1:52" ht="1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row>
    <row r="474" spans="1:52" ht="1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row>
    <row r="475" spans="1:52" ht="1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row>
    <row r="476" spans="1:52" ht="1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row>
    <row r="477" spans="1:52" ht="1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row>
    <row r="478" spans="1:52" ht="1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row>
    <row r="479" spans="1:52" ht="1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row>
    <row r="480" spans="1:52" ht="1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row>
    <row r="481" spans="1:52" ht="1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row>
    <row r="482" spans="1:52" ht="1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row>
    <row r="483" spans="1:52" ht="1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row>
    <row r="484" spans="1:52" ht="1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row>
    <row r="485" spans="1:52" ht="1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row>
    <row r="486" spans="1:52" ht="1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row>
    <row r="487" spans="1:52" ht="1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row>
    <row r="488" spans="1:52" ht="1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row>
    <row r="489" spans="1:52" ht="1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row>
    <row r="490" spans="1:52" ht="1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row>
    <row r="491" spans="1:52" ht="1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row>
    <row r="492" spans="1:52" ht="1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row>
    <row r="493" spans="1:52" ht="1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row>
    <row r="494" spans="1:52" ht="1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row>
    <row r="495" spans="1:52" ht="1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row>
    <row r="496" spans="1:52" ht="1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row>
    <row r="497" spans="1:52" ht="1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row>
    <row r="498" spans="1:52" ht="1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row>
    <row r="499" spans="1:52" ht="1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row>
    <row r="500" spans="1:52" ht="1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row>
    <row r="501" spans="1:52" ht="1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row>
    <row r="502" spans="1:52" ht="1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row>
    <row r="503" spans="1:52" ht="1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row>
    <row r="504" spans="1:52" ht="1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row>
    <row r="505" spans="1:52" ht="1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row>
    <row r="506" spans="1:52" ht="1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row>
    <row r="507" spans="1:52" ht="1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row>
    <row r="508" spans="1:52" ht="1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row>
    <row r="509" spans="1:52" ht="1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row>
    <row r="510" spans="1:52" ht="1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row>
    <row r="511" spans="1:52" ht="1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row>
    <row r="512" spans="1:52" ht="1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row>
    <row r="513" spans="1:52" ht="1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row>
    <row r="514" spans="1:52" ht="1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row>
    <row r="515" spans="1:52" ht="1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row>
    <row r="516" spans="1:52" ht="1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row>
    <row r="517" spans="1:52" ht="1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row>
    <row r="518" spans="1:52" ht="1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row>
    <row r="519" spans="1:52" ht="1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row>
    <row r="520" spans="1:52" ht="1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row>
    <row r="521" spans="1:52" ht="1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row>
    <row r="522" spans="1:52" ht="1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row>
    <row r="523" spans="1:52" ht="1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row>
    <row r="524" spans="1:52" ht="1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row>
    <row r="525" spans="1:52" ht="1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row>
    <row r="526" spans="1:52" ht="1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row>
    <row r="527" spans="1:52" ht="1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row>
    <row r="528" spans="1:52" ht="1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row>
    <row r="529" spans="1:52" ht="1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row>
    <row r="530" spans="1:52" ht="1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row>
    <row r="531" spans="1:52" ht="1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row>
    <row r="532" spans="1:52" ht="1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row>
    <row r="533" spans="1:52" ht="1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row>
    <row r="534" spans="1:52" ht="1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row>
    <row r="535" spans="1:52" ht="1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row>
    <row r="536" spans="1:52" ht="1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row>
    <row r="537" spans="1:52" ht="1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row>
    <row r="538" spans="1:52" ht="1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row>
    <row r="539" spans="1:52" ht="1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row>
    <row r="540" spans="1:52" ht="1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row>
    <row r="541" spans="1:52" ht="1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row>
    <row r="542" spans="1:52" ht="1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row>
    <row r="543" spans="1:52" ht="1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row>
    <row r="544" spans="1:52" ht="1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row>
    <row r="545" spans="1:52" ht="1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row>
    <row r="546" spans="1:52" ht="1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row>
    <row r="547" spans="1:52" ht="1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row>
    <row r="548" spans="1:52" ht="1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row>
    <row r="549" spans="1:52" ht="1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row>
    <row r="550" spans="1:52" ht="1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row>
    <row r="551" spans="1:52" ht="1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row>
    <row r="552" spans="1:52" ht="1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row>
    <row r="553" spans="1:52" ht="1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row>
    <row r="554" spans="1:52" ht="1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row>
    <row r="555" spans="1:52" ht="1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row>
    <row r="556" spans="1:52" ht="1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row>
    <row r="557" spans="1:52" ht="1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row>
    <row r="558" spans="1:52" ht="1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row>
    <row r="559" spans="1:52" ht="1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row>
    <row r="560" spans="33:36" ht="12">
      <c r="AG560" s="83"/>
      <c r="AH560" s="83"/>
      <c r="AI560" s="83"/>
      <c r="AJ560" s="83"/>
    </row>
  </sheetData>
  <sheetProtection password="D8FD" sheet="1"/>
  <mergeCells count="1">
    <mergeCell ref="X7:Y7"/>
  </mergeCells>
  <printOptions/>
  <pageMargins left="0.3937007874015748" right="0.3937007874015748" top="0.5905511811023623" bottom="0.5905511811023623"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Foglio9"/>
  <dimension ref="A1:BL326"/>
  <sheetViews>
    <sheetView zoomScalePageLayoutView="0" workbookViewId="0" topLeftCell="A7">
      <selection activeCell="H38" sqref="H38"/>
    </sheetView>
  </sheetViews>
  <sheetFormatPr defaultColWidth="9.140625" defaultRowHeight="12.75"/>
  <cols>
    <col min="1" max="1" width="4.421875" style="0" customWidth="1"/>
    <col min="2" max="2" width="62.140625" style="0" customWidth="1"/>
    <col min="4" max="4" width="9.00390625" style="0" bestFit="1" customWidth="1"/>
    <col min="6" max="6" width="10.140625" style="0" bestFit="1" customWidth="1"/>
    <col min="10" max="10" width="9.8515625" style="0" bestFit="1" customWidth="1"/>
    <col min="11" max="11" width="8.8515625" style="0" customWidth="1"/>
    <col min="15" max="15" width="10.421875" style="0" customWidth="1"/>
    <col min="16" max="16" width="9.8515625" style="0" bestFit="1" customWidth="1"/>
  </cols>
  <sheetData>
    <row r="1" spans="1:64" ht="33">
      <c r="A1" s="500"/>
      <c r="B1" s="501" t="s">
        <v>583</v>
      </c>
      <c r="C1" s="501"/>
      <c r="D1" s="502"/>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row>
    <row r="2" spans="1:64" ht="33">
      <c r="A2" s="500"/>
      <c r="B2" s="503" t="s">
        <v>468</v>
      </c>
      <c r="C2" s="501"/>
      <c r="D2" s="502"/>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row>
    <row r="3" spans="1:64" ht="23.25">
      <c r="A3" s="500"/>
      <c r="B3" s="503" t="s">
        <v>551</v>
      </c>
      <c r="C3" s="503"/>
      <c r="D3" s="502"/>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row>
    <row r="4" spans="1:64" ht="12.75">
      <c r="A4" s="504" t="str">
        <f>Datipers!A5</f>
        <v>minapoli software</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row>
    <row r="5" spans="1:64" ht="12.7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row>
    <row r="6" spans="1:64" ht="12.75">
      <c r="A6" s="495"/>
      <c r="B6" s="495" t="s">
        <v>467</v>
      </c>
      <c r="C6" s="495"/>
      <c r="D6" s="495"/>
      <c r="E6" s="505">
        <f>Datipers!E16</f>
        <v>2017</v>
      </c>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row>
    <row r="7" spans="1:64" ht="12.75">
      <c r="A7" s="495"/>
      <c r="B7" s="495" t="str">
        <f>CalcoloA!B7</f>
        <v>Anzianità in anni interi ai fini dello stipendio alla cessazione (2013 bloccato)</v>
      </c>
      <c r="C7" s="495"/>
      <c r="D7" s="495">
        <f>CalcoloA!D7</f>
        <v>31</v>
      </c>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row>
    <row r="8" spans="1:64" ht="12.75">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row>
    <row r="9" spans="1:64" ht="12.75">
      <c r="A9" s="495"/>
      <c r="B9" s="497" t="s">
        <v>543</v>
      </c>
      <c r="C9" s="495"/>
      <c r="D9" s="495">
        <f>Datipers!D22</f>
        <v>42</v>
      </c>
      <c r="E9" s="495">
        <f>Datipers!E22</f>
        <v>7</v>
      </c>
      <c r="F9" s="495"/>
      <c r="G9" s="497"/>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row>
    <row r="10" spans="1:64" ht="12.75">
      <c r="A10" s="495"/>
      <c r="B10" s="495" t="s">
        <v>473</v>
      </c>
      <c r="C10" s="495"/>
      <c r="D10" s="522">
        <f>0.8+F10*0.018+0.0015*E9</f>
        <v>0.8465</v>
      </c>
      <c r="E10" s="495">
        <f>D10/100</f>
        <v>0.008465</v>
      </c>
      <c r="F10" s="495">
        <f>D9-40</f>
        <v>2</v>
      </c>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row>
    <row r="11" spans="1:64" ht="12.7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row>
    <row r="12" spans="1:64" ht="12.75">
      <c r="A12" s="495"/>
      <c r="B12" s="506" t="s">
        <v>380</v>
      </c>
      <c r="C12" s="511"/>
      <c r="D12" s="511"/>
      <c r="E12" s="511"/>
      <c r="F12" s="507"/>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row>
    <row r="13" spans="1:64" ht="12.75">
      <c r="A13" s="495"/>
      <c r="B13" s="508" t="s">
        <v>447</v>
      </c>
      <c r="C13" s="510"/>
      <c r="D13" s="510"/>
      <c r="E13" s="510"/>
      <c r="F13" s="517">
        <f>CalcoloA!F13</f>
        <v>20713.73</v>
      </c>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row>
    <row r="14" spans="1:64" ht="12.75">
      <c r="A14" s="495"/>
      <c r="B14" s="508" t="s">
        <v>369</v>
      </c>
      <c r="C14" s="510"/>
      <c r="D14" s="510"/>
      <c r="E14" s="510"/>
      <c r="F14" s="517"/>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row>
    <row r="15" spans="1:64" ht="12.75">
      <c r="A15" s="495"/>
      <c r="B15" s="508" t="s">
        <v>370</v>
      </c>
      <c r="C15" s="510"/>
      <c r="D15" s="510"/>
      <c r="E15" s="510"/>
      <c r="F15" s="517">
        <f>CalcoloA!F15</f>
        <v>20713.73</v>
      </c>
      <c r="G15" s="495"/>
      <c r="H15" s="495"/>
      <c r="I15" s="495"/>
      <c r="J15" s="495"/>
      <c r="K15" s="495"/>
      <c r="L15" s="495"/>
      <c r="M15" s="495"/>
      <c r="N15" s="495"/>
      <c r="O15" s="495"/>
      <c r="P15" s="495"/>
      <c r="Q15" s="495"/>
      <c r="R15" s="495"/>
      <c r="S15" s="495">
        <v>0</v>
      </c>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5"/>
      <c r="BE15" s="495"/>
      <c r="BF15" s="495"/>
      <c r="BG15" s="495"/>
      <c r="BH15" s="495"/>
      <c r="BI15" s="495"/>
      <c r="BJ15" s="495"/>
      <c r="BK15" s="495"/>
      <c r="BL15" s="495"/>
    </row>
    <row r="16" spans="1:64" ht="12.75">
      <c r="A16" s="495"/>
      <c r="B16" s="508" t="s">
        <v>371</v>
      </c>
      <c r="C16" s="510"/>
      <c r="D16" s="510"/>
      <c r="E16" s="510"/>
      <c r="F16" s="517">
        <f>CalcoloA!F16</f>
        <v>3728.4714</v>
      </c>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row>
    <row r="17" spans="1:64" ht="12.75">
      <c r="A17" s="495"/>
      <c r="B17" s="508" t="s">
        <v>372</v>
      </c>
      <c r="C17" s="510"/>
      <c r="D17" s="510"/>
      <c r="E17" s="510"/>
      <c r="F17" s="517">
        <f>CalcoloA!F17</f>
        <v>6384.12</v>
      </c>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row>
    <row r="18" spans="1:64" ht="12.75">
      <c r="A18" s="495"/>
      <c r="B18" s="508" t="s">
        <v>407</v>
      </c>
      <c r="C18" s="510"/>
      <c r="D18" s="510"/>
      <c r="E18" s="510"/>
      <c r="F18" s="517">
        <f>CalcoloA!F18</f>
        <v>30826.321399999997</v>
      </c>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row>
    <row r="19" spans="1:64" ht="12.75">
      <c r="A19" s="495"/>
      <c r="B19" s="508"/>
      <c r="C19" s="510"/>
      <c r="D19" s="510"/>
      <c r="E19" s="510"/>
      <c r="F19" s="517"/>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5"/>
      <c r="BH19" s="495"/>
      <c r="BI19" s="495"/>
      <c r="BJ19" s="495"/>
      <c r="BK19" s="495"/>
      <c r="BL19" s="495"/>
    </row>
    <row r="20" spans="1:64" ht="12.75">
      <c r="A20" s="495"/>
      <c r="B20" s="508" t="s">
        <v>383</v>
      </c>
      <c r="C20" s="510"/>
      <c r="D20" s="510">
        <f>CalcoloA!D20</f>
        <v>17</v>
      </c>
      <c r="E20" s="510">
        <f>CalcoloA!E20</f>
        <v>11</v>
      </c>
      <c r="F20" s="517"/>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5"/>
      <c r="BH20" s="495"/>
      <c r="BI20" s="495"/>
      <c r="BJ20" s="495"/>
      <c r="BK20" s="495"/>
      <c r="BL20" s="495"/>
    </row>
    <row r="21" spans="1:64" ht="12.75">
      <c r="A21" s="495"/>
      <c r="B21" s="508" t="s">
        <v>382</v>
      </c>
      <c r="C21" s="510"/>
      <c r="D21" s="523">
        <f>CalcoloA!D21</f>
        <v>0.4025</v>
      </c>
      <c r="E21" s="510">
        <f>CalcoloA!E21</f>
        <v>0.4025</v>
      </c>
      <c r="F21" s="517"/>
      <c r="G21" s="495"/>
      <c r="H21" s="497"/>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row>
    <row r="22" spans="1:64" ht="12.75">
      <c r="A22" s="495"/>
      <c r="B22" s="508"/>
      <c r="C22" s="510"/>
      <c r="D22" s="510"/>
      <c r="E22" s="510"/>
      <c r="F22" s="517"/>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row>
    <row r="23" spans="1:64" ht="12.75">
      <c r="A23" s="495"/>
      <c r="B23" s="518" t="s">
        <v>384</v>
      </c>
      <c r="C23" s="519"/>
      <c r="D23" s="519"/>
      <c r="E23" s="519"/>
      <c r="F23" s="520">
        <f>CalcoloA!F23</f>
        <v>12407.5943635</v>
      </c>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row>
    <row r="24" spans="1:64" ht="12.75">
      <c r="A24" s="495"/>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row>
    <row r="25" spans="1:64" ht="12.75">
      <c r="A25" s="495"/>
      <c r="B25" s="506" t="s">
        <v>385</v>
      </c>
      <c r="C25" s="511"/>
      <c r="D25" s="511"/>
      <c r="E25" s="511"/>
      <c r="F25" s="507"/>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row>
    <row r="26" spans="1:64" ht="12.75">
      <c r="A26" s="495"/>
      <c r="B26" s="508" t="s">
        <v>387</v>
      </c>
      <c r="C26" s="521" t="s">
        <v>41</v>
      </c>
      <c r="D26" s="510"/>
      <c r="E26" s="510"/>
      <c r="F26" s="517">
        <f>CalcoloA!F26</f>
        <v>31273.02461958101</v>
      </c>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row>
    <row r="27" spans="1:64" ht="12.75">
      <c r="A27" s="495"/>
      <c r="B27" s="508"/>
      <c r="C27" s="510"/>
      <c r="D27" s="510"/>
      <c r="E27" s="510"/>
      <c r="F27" s="517"/>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row>
    <row r="28" spans="1:64" ht="12.75">
      <c r="A28" s="495"/>
      <c r="B28" s="508" t="s">
        <v>22</v>
      </c>
      <c r="C28" s="521" t="s">
        <v>41</v>
      </c>
      <c r="D28" s="510">
        <f>CalcoloA!D28</f>
        <v>22</v>
      </c>
      <c r="E28" s="510">
        <f>CalcoloA!E28</f>
        <v>11</v>
      </c>
      <c r="F28" s="517"/>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row>
    <row r="29" spans="1:64" ht="12.75">
      <c r="A29" s="495"/>
      <c r="B29" s="508" t="s">
        <v>396</v>
      </c>
      <c r="C29" s="510"/>
      <c r="D29" s="523">
        <f>CalcoloA!D29</f>
        <v>0.4925</v>
      </c>
      <c r="E29" s="510">
        <f>CalcoloA!E29</f>
        <v>0.4925</v>
      </c>
      <c r="F29" s="517"/>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row>
    <row r="30" spans="1:64" ht="12.75">
      <c r="A30" s="495"/>
      <c r="B30" s="508" t="s">
        <v>393</v>
      </c>
      <c r="C30" s="510"/>
      <c r="D30" s="523">
        <f>CalcoloA!D30</f>
        <v>0.08999999999999997</v>
      </c>
      <c r="E30" s="510">
        <f>CalcoloA!E30</f>
        <v>0.08999999999999997</v>
      </c>
      <c r="F30" s="517"/>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row>
    <row r="31" spans="1:64" ht="12.75">
      <c r="A31" s="495"/>
      <c r="B31" s="508" t="s">
        <v>394</v>
      </c>
      <c r="C31" s="510"/>
      <c r="D31" s="510"/>
      <c r="E31" s="510"/>
      <c r="F31" s="517">
        <f>CalcoloA!F31</f>
        <v>2814.57221576229</v>
      </c>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row>
    <row r="32" spans="1:64" ht="12.75">
      <c r="A32" s="495"/>
      <c r="B32" s="508"/>
      <c r="C32" s="510"/>
      <c r="D32" s="510"/>
      <c r="E32" s="510"/>
      <c r="F32" s="517"/>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row>
    <row r="33" spans="1:64" ht="12.75">
      <c r="A33" s="495"/>
      <c r="B33" s="508" t="s">
        <v>460</v>
      </c>
      <c r="C33" s="521" t="s">
        <v>41</v>
      </c>
      <c r="D33" s="510"/>
      <c r="E33" s="510"/>
      <c r="F33" s="517"/>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row>
    <row r="34" spans="1:64" ht="12.75">
      <c r="A34" s="495"/>
      <c r="B34" s="508" t="s">
        <v>461</v>
      </c>
      <c r="C34" s="510"/>
      <c r="D34" s="510"/>
      <c r="E34" s="510"/>
      <c r="F34" s="517">
        <f>CalcoloA!F34</f>
        <v>31273.02461958101</v>
      </c>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row>
    <row r="35" spans="1:64" ht="12.75">
      <c r="A35" s="495"/>
      <c r="B35" s="508" t="s">
        <v>395</v>
      </c>
      <c r="C35" s="510"/>
      <c r="D35" s="523">
        <f>D10-D29</f>
        <v>0.35400000000000004</v>
      </c>
      <c r="E35" s="523">
        <f>D35</f>
        <v>0.35400000000000004</v>
      </c>
      <c r="F35" s="517"/>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row>
    <row r="36" spans="1:64" ht="12.75">
      <c r="A36" s="495"/>
      <c r="B36" s="512" t="s">
        <v>474</v>
      </c>
      <c r="C36" s="510"/>
      <c r="D36" s="510"/>
      <c r="E36" s="510"/>
      <c r="F36" s="517">
        <f>F34*E35</f>
        <v>11070.65071533168</v>
      </c>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5"/>
      <c r="AY36" s="495"/>
      <c r="AZ36" s="495"/>
      <c r="BA36" s="495"/>
      <c r="BB36" s="495"/>
      <c r="BC36" s="495"/>
      <c r="BD36" s="495"/>
      <c r="BE36" s="495"/>
      <c r="BF36" s="495"/>
      <c r="BG36" s="495"/>
      <c r="BH36" s="495"/>
      <c r="BI36" s="495"/>
      <c r="BJ36" s="495"/>
      <c r="BK36" s="495"/>
      <c r="BL36" s="495"/>
    </row>
    <row r="37" spans="1:64" ht="12.75">
      <c r="A37" s="495"/>
      <c r="B37" s="512" t="s">
        <v>475</v>
      </c>
      <c r="C37" s="510"/>
      <c r="D37" s="510"/>
      <c r="E37" s="510"/>
      <c r="F37" s="517">
        <f>F31+F36</f>
        <v>13885.22293109397</v>
      </c>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row>
    <row r="38" spans="1:64" ht="12.75">
      <c r="A38" s="495"/>
      <c r="B38" s="508"/>
      <c r="C38" s="510"/>
      <c r="D38" s="510"/>
      <c r="E38" s="510"/>
      <c r="F38" s="509"/>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row>
    <row r="39" spans="1:64" ht="12.75">
      <c r="A39" s="495"/>
      <c r="B39" s="577" t="s">
        <v>536</v>
      </c>
      <c r="C39" s="578"/>
      <c r="D39" s="578"/>
      <c r="E39" s="578"/>
      <c r="F39" s="579">
        <f>F23+F37</f>
        <v>26292.81729459397</v>
      </c>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row>
    <row r="40" spans="1:64" ht="12.75">
      <c r="A40" s="495"/>
      <c r="B40" s="577" t="s">
        <v>535</v>
      </c>
      <c r="C40" s="510"/>
      <c r="D40" s="510"/>
      <c r="E40" s="510"/>
      <c r="F40" s="579">
        <f>F39/12</f>
        <v>2191.0681078828306</v>
      </c>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row>
    <row r="41" spans="1:64" ht="12.75">
      <c r="A41" s="495"/>
      <c r="B41" s="574"/>
      <c r="C41" s="573"/>
      <c r="D41" s="573"/>
      <c r="E41" s="573"/>
      <c r="F41" s="57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row>
    <row r="42" spans="1:64" ht="12.75">
      <c r="A42" s="495"/>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row>
    <row r="43" spans="1:64" ht="12.75">
      <c r="A43" s="495"/>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row>
    <row r="44" spans="1:64" ht="12">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row>
    <row r="45" spans="1:64" ht="12">
      <c r="A45" s="495"/>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row>
    <row r="46" spans="1:64" ht="12">
      <c r="A46" s="495"/>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row>
    <row r="47" spans="1:64" ht="12">
      <c r="A47" s="495"/>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row>
    <row r="48" spans="1:64" ht="12">
      <c r="A48" s="495"/>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5"/>
    </row>
    <row r="49" spans="1:64" ht="12">
      <c r="A49" s="495"/>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row>
    <row r="50" spans="1:64" ht="12">
      <c r="A50" s="495"/>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row>
    <row r="51" spans="1:64" ht="12">
      <c r="A51" s="495"/>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row>
    <row r="52" spans="1:64" ht="12">
      <c r="A52" s="495"/>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row>
    <row r="53" spans="1:64" ht="12">
      <c r="A53" s="495"/>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row>
    <row r="54" spans="1:64" ht="12">
      <c r="A54" s="495"/>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row>
    <row r="55" spans="1:64" ht="12">
      <c r="A55" s="495"/>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row>
    <row r="56" spans="1:64" ht="12">
      <c r="A56" s="495"/>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row>
    <row r="57" spans="1:64" ht="12">
      <c r="A57" s="495"/>
      <c r="B57" s="495"/>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row>
    <row r="58" spans="1:64" ht="12">
      <c r="A58" s="495"/>
      <c r="B58" s="495"/>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row>
    <row r="59" spans="1:64" ht="12">
      <c r="A59" s="495"/>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row>
    <row r="60" spans="1:64" ht="12">
      <c r="A60" s="495"/>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row>
    <row r="61" spans="1:64" ht="12">
      <c r="A61" s="495"/>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row>
    <row r="62" spans="1:64" ht="12">
      <c r="A62" s="495"/>
      <c r="B62" s="495"/>
      <c r="C62" s="495"/>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5"/>
      <c r="BI62" s="495"/>
      <c r="BJ62" s="495"/>
      <c r="BK62" s="495"/>
      <c r="BL62" s="495"/>
    </row>
    <row r="63" spans="1:64" ht="12">
      <c r="A63" s="495"/>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5"/>
      <c r="BI63" s="495"/>
      <c r="BJ63" s="495"/>
      <c r="BK63" s="495"/>
      <c r="BL63" s="495"/>
    </row>
    <row r="64" spans="1:64" ht="12">
      <c r="A64" s="495"/>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5"/>
      <c r="BJ64" s="495"/>
      <c r="BK64" s="495"/>
      <c r="BL64" s="495"/>
    </row>
    <row r="65" spans="1:64" ht="12">
      <c r="A65" s="495"/>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495"/>
    </row>
    <row r="66" spans="1:64" ht="12">
      <c r="A66" s="495"/>
      <c r="B66" s="495"/>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row>
    <row r="67" spans="1:64" ht="12">
      <c r="A67" s="495"/>
      <c r="B67" s="495"/>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5"/>
      <c r="BH67" s="495"/>
      <c r="BI67" s="495"/>
      <c r="BJ67" s="495"/>
      <c r="BK67" s="495"/>
      <c r="BL67" s="495"/>
    </row>
    <row r="68" spans="1:64" ht="12">
      <c r="A68" s="495"/>
      <c r="B68" s="495"/>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495"/>
    </row>
    <row r="69" spans="1:64" ht="12">
      <c r="A69" s="495"/>
      <c r="B69" s="495"/>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5"/>
      <c r="BA69" s="495"/>
      <c r="BB69" s="495"/>
      <c r="BC69" s="495"/>
      <c r="BD69" s="495"/>
      <c r="BE69" s="495"/>
      <c r="BF69" s="495"/>
      <c r="BG69" s="495"/>
      <c r="BH69" s="495"/>
      <c r="BI69" s="495"/>
      <c r="BJ69" s="495"/>
      <c r="BK69" s="495"/>
      <c r="BL69" s="495"/>
    </row>
    <row r="70" spans="1:64" ht="12">
      <c r="A70" s="495"/>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495"/>
    </row>
    <row r="71" spans="1:64" ht="12">
      <c r="A71" s="495"/>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5"/>
      <c r="BA71" s="495"/>
      <c r="BB71" s="495"/>
      <c r="BC71" s="495"/>
      <c r="BD71" s="495"/>
      <c r="BE71" s="495"/>
      <c r="BF71" s="495"/>
      <c r="BG71" s="495"/>
      <c r="BH71" s="495"/>
      <c r="BI71" s="495"/>
      <c r="BJ71" s="495"/>
      <c r="BK71" s="495"/>
      <c r="BL71" s="495"/>
    </row>
    <row r="72" spans="1:64" ht="12">
      <c r="A72" s="495"/>
      <c r="B72" s="495"/>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5"/>
      <c r="AY72" s="495"/>
      <c r="AZ72" s="495"/>
      <c r="BA72" s="495"/>
      <c r="BB72" s="495"/>
      <c r="BC72" s="495"/>
      <c r="BD72" s="495"/>
      <c r="BE72" s="495"/>
      <c r="BF72" s="495"/>
      <c r="BG72" s="495"/>
      <c r="BH72" s="495"/>
      <c r="BI72" s="495"/>
      <c r="BJ72" s="495"/>
      <c r="BK72" s="495"/>
      <c r="BL72" s="495"/>
    </row>
    <row r="73" spans="1:64" ht="12">
      <c r="A73" s="495"/>
      <c r="B73" s="495"/>
      <c r="C73" s="495"/>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5"/>
      <c r="AZ73" s="495"/>
      <c r="BA73" s="495"/>
      <c r="BB73" s="495"/>
      <c r="BC73" s="495"/>
      <c r="BD73" s="495"/>
      <c r="BE73" s="495"/>
      <c r="BF73" s="495"/>
      <c r="BG73" s="495"/>
      <c r="BH73" s="495"/>
      <c r="BI73" s="495"/>
      <c r="BJ73" s="495"/>
      <c r="BK73" s="495"/>
      <c r="BL73" s="495"/>
    </row>
    <row r="74" spans="1:64" ht="12">
      <c r="A74" s="495"/>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5"/>
      <c r="AY74" s="495"/>
      <c r="AZ74" s="495"/>
      <c r="BA74" s="495"/>
      <c r="BB74" s="495"/>
      <c r="BC74" s="495"/>
      <c r="BD74" s="495"/>
      <c r="BE74" s="495"/>
      <c r="BF74" s="495"/>
      <c r="BG74" s="495"/>
      <c r="BH74" s="495"/>
      <c r="BI74" s="495"/>
      <c r="BJ74" s="495"/>
      <c r="BK74" s="495"/>
      <c r="BL74" s="495"/>
    </row>
    <row r="75" spans="1:64" ht="12">
      <c r="A75" s="495"/>
      <c r="B75" s="495"/>
      <c r="C75" s="495"/>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5"/>
      <c r="AY75" s="495"/>
      <c r="AZ75" s="495"/>
      <c r="BA75" s="495"/>
      <c r="BB75" s="495"/>
      <c r="BC75" s="495"/>
      <c r="BD75" s="495"/>
      <c r="BE75" s="495"/>
      <c r="BF75" s="495"/>
      <c r="BG75" s="495"/>
      <c r="BH75" s="495"/>
      <c r="BI75" s="495"/>
      <c r="BJ75" s="495"/>
      <c r="BK75" s="495"/>
      <c r="BL75" s="495"/>
    </row>
    <row r="76" spans="1:64" ht="12">
      <c r="A76" s="495"/>
      <c r="B76" s="495"/>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5"/>
      <c r="AY76" s="495"/>
      <c r="AZ76" s="495"/>
      <c r="BA76" s="495"/>
      <c r="BB76" s="495"/>
      <c r="BC76" s="495"/>
      <c r="BD76" s="495"/>
      <c r="BE76" s="495"/>
      <c r="BF76" s="495"/>
      <c r="BG76" s="495"/>
      <c r="BH76" s="495"/>
      <c r="BI76" s="495"/>
      <c r="BJ76" s="495"/>
      <c r="BK76" s="495"/>
      <c r="BL76" s="495"/>
    </row>
    <row r="77" spans="1:64" ht="12">
      <c r="A77" s="495"/>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5"/>
      <c r="AY77" s="495"/>
      <c r="AZ77" s="495"/>
      <c r="BA77" s="495"/>
      <c r="BB77" s="495"/>
      <c r="BC77" s="495"/>
      <c r="BD77" s="495"/>
      <c r="BE77" s="495"/>
      <c r="BF77" s="495"/>
      <c r="BG77" s="495"/>
      <c r="BH77" s="495"/>
      <c r="BI77" s="495"/>
      <c r="BJ77" s="495"/>
      <c r="BK77" s="495"/>
      <c r="BL77" s="495"/>
    </row>
    <row r="78" spans="1:64" ht="12">
      <c r="A78" s="495"/>
      <c r="B78" s="495"/>
      <c r="C78" s="495"/>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5"/>
      <c r="AY78" s="495"/>
      <c r="AZ78" s="495"/>
      <c r="BA78" s="495"/>
      <c r="BB78" s="495"/>
      <c r="BC78" s="495"/>
      <c r="BD78" s="495"/>
      <c r="BE78" s="495"/>
      <c r="BF78" s="495"/>
      <c r="BG78" s="495"/>
      <c r="BH78" s="495"/>
      <c r="BI78" s="495"/>
      <c r="BJ78" s="495"/>
      <c r="BK78" s="495"/>
      <c r="BL78" s="495"/>
    </row>
    <row r="79" spans="1:64" ht="12">
      <c r="A79" s="495"/>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495"/>
      <c r="AV79" s="495"/>
      <c r="AW79" s="495"/>
      <c r="AX79" s="495"/>
      <c r="AY79" s="495"/>
      <c r="AZ79" s="495"/>
      <c r="BA79" s="495"/>
      <c r="BB79" s="495"/>
      <c r="BC79" s="495"/>
      <c r="BD79" s="495"/>
      <c r="BE79" s="495"/>
      <c r="BF79" s="495"/>
      <c r="BG79" s="495"/>
      <c r="BH79" s="495"/>
      <c r="BI79" s="495"/>
      <c r="BJ79" s="495"/>
      <c r="BK79" s="495"/>
      <c r="BL79" s="495"/>
    </row>
    <row r="80" spans="1:64" ht="12">
      <c r="A80" s="495"/>
      <c r="B80" s="495"/>
      <c r="C80" s="495"/>
      <c r="D80" s="495"/>
      <c r="E80" s="495"/>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5"/>
      <c r="AY80" s="495"/>
      <c r="AZ80" s="495"/>
      <c r="BA80" s="495"/>
      <c r="BB80" s="495"/>
      <c r="BC80" s="495"/>
      <c r="BD80" s="495"/>
      <c r="BE80" s="495"/>
      <c r="BF80" s="495"/>
      <c r="BG80" s="495"/>
      <c r="BH80" s="495"/>
      <c r="BI80" s="495"/>
      <c r="BJ80" s="495"/>
      <c r="BK80" s="495"/>
      <c r="BL80" s="495"/>
    </row>
    <row r="81" spans="1:64" ht="12">
      <c r="A81" s="495"/>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row>
    <row r="82" spans="1:64" ht="12">
      <c r="A82" s="495"/>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5"/>
      <c r="AY82" s="495"/>
      <c r="AZ82" s="495"/>
      <c r="BA82" s="495"/>
      <c r="BB82" s="495"/>
      <c r="BC82" s="495"/>
      <c r="BD82" s="495"/>
      <c r="BE82" s="495"/>
      <c r="BF82" s="495"/>
      <c r="BG82" s="495"/>
      <c r="BH82" s="495"/>
      <c r="BI82" s="495"/>
      <c r="BJ82" s="495"/>
      <c r="BK82" s="495"/>
      <c r="BL82" s="495"/>
    </row>
    <row r="83" spans="1:64" ht="12">
      <c r="A83" s="495"/>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5"/>
      <c r="AY83" s="495"/>
      <c r="AZ83" s="495"/>
      <c r="BA83" s="495"/>
      <c r="BB83" s="495"/>
      <c r="BC83" s="495"/>
      <c r="BD83" s="495"/>
      <c r="BE83" s="495"/>
      <c r="BF83" s="495"/>
      <c r="BG83" s="495"/>
      <c r="BH83" s="495"/>
      <c r="BI83" s="495"/>
      <c r="BJ83" s="495"/>
      <c r="BK83" s="495"/>
      <c r="BL83" s="495"/>
    </row>
    <row r="84" spans="1:64" ht="12">
      <c r="A84" s="495"/>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5"/>
      <c r="AY84" s="495"/>
      <c r="AZ84" s="495"/>
      <c r="BA84" s="495"/>
      <c r="BB84" s="495"/>
      <c r="BC84" s="495"/>
      <c r="BD84" s="495"/>
      <c r="BE84" s="495"/>
      <c r="BF84" s="495"/>
      <c r="BG84" s="495"/>
      <c r="BH84" s="495"/>
      <c r="BI84" s="495"/>
      <c r="BJ84" s="495"/>
      <c r="BK84" s="495"/>
      <c r="BL84" s="495"/>
    </row>
    <row r="85" spans="1:64" ht="12">
      <c r="A85" s="495"/>
      <c r="B85" s="495"/>
      <c r="C85" s="495"/>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5"/>
      <c r="AN85" s="495"/>
      <c r="AO85" s="495"/>
      <c r="AP85" s="495"/>
      <c r="AQ85" s="495"/>
      <c r="AR85" s="495"/>
      <c r="AS85" s="495"/>
      <c r="AT85" s="495"/>
      <c r="AU85" s="495"/>
      <c r="AV85" s="495"/>
      <c r="AW85" s="495"/>
      <c r="AX85" s="495"/>
      <c r="AY85" s="495"/>
      <c r="AZ85" s="495"/>
      <c r="BA85" s="495"/>
      <c r="BB85" s="495"/>
      <c r="BC85" s="495"/>
      <c r="BD85" s="495"/>
      <c r="BE85" s="495"/>
      <c r="BF85" s="495"/>
      <c r="BG85" s="495"/>
      <c r="BH85" s="495"/>
      <c r="BI85" s="495"/>
      <c r="BJ85" s="495"/>
      <c r="BK85" s="495"/>
      <c r="BL85" s="495"/>
    </row>
    <row r="86" spans="1:64" ht="12">
      <c r="A86" s="495"/>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495"/>
      <c r="BA86" s="495"/>
      <c r="BB86" s="495"/>
      <c r="BC86" s="495"/>
      <c r="BD86" s="495"/>
      <c r="BE86" s="495"/>
      <c r="BF86" s="495"/>
      <c r="BG86" s="495"/>
      <c r="BH86" s="495"/>
      <c r="BI86" s="495"/>
      <c r="BJ86" s="495"/>
      <c r="BK86" s="495"/>
      <c r="BL86" s="495"/>
    </row>
    <row r="87" spans="1:64" ht="12">
      <c r="A87" s="495"/>
      <c r="B87" s="495"/>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5"/>
      <c r="AZ87" s="495"/>
      <c r="BA87" s="495"/>
      <c r="BB87" s="495"/>
      <c r="BC87" s="495"/>
      <c r="BD87" s="495"/>
      <c r="BE87" s="495"/>
      <c r="BF87" s="495"/>
      <c r="BG87" s="495"/>
      <c r="BH87" s="495"/>
      <c r="BI87" s="495"/>
      <c r="BJ87" s="495"/>
      <c r="BK87" s="495"/>
      <c r="BL87" s="495"/>
    </row>
    <row r="88" spans="1:64" ht="12">
      <c r="A88" s="495"/>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c r="AP88" s="495"/>
      <c r="AQ88" s="495"/>
      <c r="AR88" s="495"/>
      <c r="AS88" s="495"/>
      <c r="AT88" s="495"/>
      <c r="AU88" s="495"/>
      <c r="AV88" s="495"/>
      <c r="AW88" s="495"/>
      <c r="AX88" s="495"/>
      <c r="AY88" s="495"/>
      <c r="AZ88" s="495"/>
      <c r="BA88" s="495"/>
      <c r="BB88" s="495"/>
      <c r="BC88" s="495"/>
      <c r="BD88" s="495"/>
      <c r="BE88" s="495"/>
      <c r="BF88" s="495"/>
      <c r="BG88" s="495"/>
      <c r="BH88" s="495"/>
      <c r="BI88" s="495"/>
      <c r="BJ88" s="495"/>
      <c r="BK88" s="495"/>
      <c r="BL88" s="495"/>
    </row>
    <row r="89" spans="1:64" ht="12">
      <c r="A89" s="495"/>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c r="BJ89" s="495"/>
      <c r="BK89" s="495"/>
      <c r="BL89" s="495"/>
    </row>
    <row r="90" spans="1:64" ht="12">
      <c r="A90" s="49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495"/>
      <c r="BF90" s="495"/>
      <c r="BG90" s="495"/>
      <c r="BH90" s="495"/>
      <c r="BI90" s="495"/>
      <c r="BJ90" s="495"/>
      <c r="BK90" s="495"/>
      <c r="BL90" s="495"/>
    </row>
    <row r="91" spans="1:64" ht="12">
      <c r="A91" s="495"/>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5"/>
      <c r="AY91" s="495"/>
      <c r="AZ91" s="495"/>
      <c r="BA91" s="495"/>
      <c r="BB91" s="495"/>
      <c r="BC91" s="495"/>
      <c r="BD91" s="495"/>
      <c r="BE91" s="495"/>
      <c r="BF91" s="495"/>
      <c r="BG91" s="495"/>
      <c r="BH91" s="495"/>
      <c r="BI91" s="495"/>
      <c r="BJ91" s="495"/>
      <c r="BK91" s="495"/>
      <c r="BL91" s="495"/>
    </row>
    <row r="92" spans="1:64" ht="12">
      <c r="A92" s="495"/>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c r="BJ92" s="495"/>
      <c r="BK92" s="495"/>
      <c r="BL92" s="495"/>
    </row>
    <row r="93" spans="1:64" ht="12">
      <c r="A93" s="495"/>
      <c r="B93" s="495"/>
      <c r="C93" s="495"/>
      <c r="D93" s="495"/>
      <c r="E93" s="495"/>
      <c r="F93" s="495"/>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495"/>
      <c r="AR93" s="495"/>
      <c r="AS93" s="495"/>
      <c r="AT93" s="495"/>
      <c r="AU93" s="495"/>
      <c r="AV93" s="495"/>
      <c r="AW93" s="495"/>
      <c r="AX93" s="495"/>
      <c r="AY93" s="495"/>
      <c r="AZ93" s="495"/>
      <c r="BA93" s="495"/>
      <c r="BB93" s="495"/>
      <c r="BC93" s="495"/>
      <c r="BD93" s="495"/>
      <c r="BE93" s="495"/>
      <c r="BF93" s="495"/>
      <c r="BG93" s="495"/>
      <c r="BH93" s="495"/>
      <c r="BI93" s="495"/>
      <c r="BJ93" s="495"/>
      <c r="BK93" s="495"/>
      <c r="BL93" s="495"/>
    </row>
    <row r="94" spans="1:64" ht="12">
      <c r="A94" s="495"/>
      <c r="B94" s="495"/>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row>
    <row r="95" spans="1:64" ht="12">
      <c r="A95" s="495"/>
      <c r="B95" s="495"/>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5"/>
      <c r="AV95" s="495"/>
      <c r="AW95" s="495"/>
      <c r="AX95" s="495"/>
      <c r="AY95" s="495"/>
      <c r="AZ95" s="495"/>
      <c r="BA95" s="495"/>
      <c r="BB95" s="495"/>
      <c r="BC95" s="495"/>
      <c r="BD95" s="495"/>
      <c r="BE95" s="495"/>
      <c r="BF95" s="495"/>
      <c r="BG95" s="495"/>
      <c r="BH95" s="495"/>
      <c r="BI95" s="495"/>
      <c r="BJ95" s="495"/>
      <c r="BK95" s="495"/>
      <c r="BL95" s="495"/>
    </row>
    <row r="96" spans="1:64" ht="12">
      <c r="A96" s="495"/>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495"/>
      <c r="BI96" s="495"/>
      <c r="BJ96" s="495"/>
      <c r="BK96" s="495"/>
      <c r="BL96" s="495"/>
    </row>
    <row r="97" spans="1:64" ht="12">
      <c r="A97" s="495"/>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5"/>
      <c r="AY97" s="495"/>
      <c r="AZ97" s="495"/>
      <c r="BA97" s="495"/>
      <c r="BB97" s="495"/>
      <c r="BC97" s="495"/>
      <c r="BD97" s="495"/>
      <c r="BE97" s="495"/>
      <c r="BF97" s="495"/>
      <c r="BG97" s="495"/>
      <c r="BH97" s="495"/>
      <c r="BI97" s="495"/>
      <c r="BJ97" s="495"/>
      <c r="BK97" s="495"/>
      <c r="BL97" s="495"/>
    </row>
    <row r="98" spans="1:64" ht="12">
      <c r="A98" s="495"/>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5"/>
    </row>
    <row r="99" spans="1:64" ht="12">
      <c r="A99" s="495"/>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495"/>
      <c r="BG99" s="495"/>
      <c r="BH99" s="495"/>
      <c r="BI99" s="495"/>
      <c r="BJ99" s="495"/>
      <c r="BK99" s="495"/>
      <c r="BL99" s="495"/>
    </row>
    <row r="100" spans="1:64" ht="12">
      <c r="A100" s="495"/>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5"/>
      <c r="AJ100" s="495"/>
      <c r="AK100" s="495"/>
      <c r="AL100" s="495"/>
      <c r="AM100" s="495"/>
      <c r="AN100" s="495"/>
      <c r="AO100" s="495"/>
      <c r="AP100" s="495"/>
      <c r="AQ100" s="495"/>
      <c r="AR100" s="495"/>
      <c r="AS100" s="495"/>
      <c r="AT100" s="495"/>
      <c r="AU100" s="495"/>
      <c r="AV100" s="495"/>
      <c r="AW100" s="495"/>
      <c r="AX100" s="495"/>
      <c r="AY100" s="495"/>
      <c r="AZ100" s="495"/>
      <c r="BA100" s="495"/>
      <c r="BB100" s="495"/>
      <c r="BC100" s="495"/>
      <c r="BD100" s="495"/>
      <c r="BE100" s="495"/>
      <c r="BF100" s="495"/>
      <c r="BG100" s="495"/>
      <c r="BH100" s="495"/>
      <c r="BI100" s="495"/>
      <c r="BJ100" s="495"/>
      <c r="BK100" s="495"/>
      <c r="BL100" s="495"/>
    </row>
    <row r="101" spans="1:64" ht="12">
      <c r="A101" s="495"/>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c r="AK101" s="495"/>
      <c r="AL101" s="495"/>
      <c r="AM101" s="495"/>
      <c r="AN101" s="495"/>
      <c r="AO101" s="495"/>
      <c r="AP101" s="495"/>
      <c r="AQ101" s="495"/>
      <c r="AR101" s="495"/>
      <c r="AS101" s="495"/>
      <c r="AT101" s="495"/>
      <c r="AU101" s="495"/>
      <c r="AV101" s="495"/>
      <c r="AW101" s="495"/>
      <c r="AX101" s="495"/>
      <c r="AY101" s="495"/>
      <c r="AZ101" s="495"/>
      <c r="BA101" s="495"/>
      <c r="BB101" s="495"/>
      <c r="BC101" s="495"/>
      <c r="BD101" s="495"/>
      <c r="BE101" s="495"/>
      <c r="BF101" s="495"/>
      <c r="BG101" s="495"/>
      <c r="BH101" s="495"/>
      <c r="BI101" s="495"/>
      <c r="BJ101" s="495"/>
      <c r="BK101" s="495"/>
      <c r="BL101" s="495"/>
    </row>
    <row r="102" spans="1:64" ht="12">
      <c r="A102" s="495"/>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row>
    <row r="103" spans="1:64" ht="12">
      <c r="A103" s="495"/>
      <c r="B103" s="495"/>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5"/>
      <c r="AY103" s="495"/>
      <c r="AZ103" s="495"/>
      <c r="BA103" s="495"/>
      <c r="BB103" s="495"/>
      <c r="BC103" s="495"/>
      <c r="BD103" s="495"/>
      <c r="BE103" s="495"/>
      <c r="BF103" s="495"/>
      <c r="BG103" s="495"/>
      <c r="BH103" s="495"/>
      <c r="BI103" s="495"/>
      <c r="BJ103" s="495"/>
      <c r="BK103" s="495"/>
      <c r="BL103" s="495"/>
    </row>
    <row r="104" spans="1:64" ht="12">
      <c r="A104" s="495"/>
      <c r="B104" s="495"/>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495"/>
      <c r="AJ104" s="495"/>
      <c r="AK104" s="495"/>
      <c r="AL104" s="495"/>
      <c r="AM104" s="495"/>
      <c r="AN104" s="495"/>
      <c r="AO104" s="495"/>
      <c r="AP104" s="495"/>
      <c r="AQ104" s="495"/>
      <c r="AR104" s="495"/>
      <c r="AS104" s="495"/>
      <c r="AT104" s="495"/>
      <c r="AU104" s="495"/>
      <c r="AV104" s="495"/>
      <c r="AW104" s="495"/>
      <c r="AX104" s="495"/>
      <c r="AY104" s="495"/>
      <c r="AZ104" s="495"/>
      <c r="BA104" s="495"/>
      <c r="BB104" s="495"/>
      <c r="BC104" s="495"/>
      <c r="BD104" s="495"/>
      <c r="BE104" s="495"/>
      <c r="BF104" s="495"/>
      <c r="BG104" s="495"/>
      <c r="BH104" s="495"/>
      <c r="BI104" s="495"/>
      <c r="BJ104" s="495"/>
      <c r="BK104" s="495"/>
      <c r="BL104" s="495"/>
    </row>
    <row r="105" spans="1:64" ht="12">
      <c r="A105" s="495"/>
      <c r="B105" s="495"/>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5"/>
      <c r="AM105" s="495"/>
      <c r="AN105" s="495"/>
      <c r="AO105" s="495"/>
      <c r="AP105" s="495"/>
      <c r="AQ105" s="495"/>
      <c r="AR105" s="495"/>
      <c r="AS105" s="495"/>
      <c r="AT105" s="495"/>
      <c r="AU105" s="495"/>
      <c r="AV105" s="495"/>
      <c r="AW105" s="495"/>
      <c r="AX105" s="495"/>
      <c r="AY105" s="495"/>
      <c r="AZ105" s="495"/>
      <c r="BA105" s="495"/>
      <c r="BB105" s="495"/>
      <c r="BC105" s="495"/>
      <c r="BD105" s="495"/>
      <c r="BE105" s="495"/>
      <c r="BF105" s="495"/>
      <c r="BG105" s="495"/>
      <c r="BH105" s="495"/>
      <c r="BI105" s="495"/>
      <c r="BJ105" s="495"/>
      <c r="BK105" s="495"/>
      <c r="BL105" s="495"/>
    </row>
    <row r="106" spans="1:64" ht="12">
      <c r="A106" s="495"/>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5"/>
      <c r="AY106" s="495"/>
      <c r="AZ106" s="495"/>
      <c r="BA106" s="495"/>
      <c r="BB106" s="495"/>
      <c r="BC106" s="495"/>
      <c r="BD106" s="495"/>
      <c r="BE106" s="495"/>
      <c r="BF106" s="495"/>
      <c r="BG106" s="495"/>
      <c r="BH106" s="495"/>
      <c r="BI106" s="495"/>
      <c r="BJ106" s="495"/>
      <c r="BK106" s="495"/>
      <c r="BL106" s="495"/>
    </row>
    <row r="107" spans="1:64" ht="12">
      <c r="A107" s="495"/>
      <c r="B107" s="495"/>
      <c r="C107" s="495"/>
      <c r="D107" s="495"/>
      <c r="E107" s="495"/>
      <c r="F107" s="495"/>
      <c r="G107" s="495"/>
      <c r="H107" s="495"/>
      <c r="I107" s="495"/>
      <c r="J107" s="495"/>
      <c r="K107" s="495"/>
      <c r="L107" s="495"/>
      <c r="M107" s="495"/>
      <c r="N107" s="495"/>
      <c r="O107" s="495"/>
      <c r="P107" s="495"/>
      <c r="Q107" s="495"/>
      <c r="R107" s="495"/>
      <c r="S107" s="495"/>
      <c r="T107" s="495"/>
      <c r="U107" s="495"/>
      <c r="V107" s="495"/>
      <c r="W107" s="495"/>
      <c r="X107" s="495"/>
      <c r="Y107" s="495"/>
      <c r="Z107" s="495"/>
      <c r="AA107" s="495"/>
      <c r="AB107" s="495"/>
      <c r="AC107" s="495"/>
      <c r="AD107" s="495"/>
      <c r="AE107" s="495"/>
      <c r="AF107" s="495"/>
      <c r="AG107" s="495"/>
      <c r="AH107" s="495"/>
      <c r="AI107" s="495"/>
      <c r="AJ107" s="495"/>
      <c r="AK107" s="495"/>
      <c r="AL107" s="495"/>
      <c r="AM107" s="495"/>
      <c r="AN107" s="495"/>
      <c r="AO107" s="495"/>
      <c r="AP107" s="495"/>
      <c r="AQ107" s="495"/>
      <c r="AR107" s="495"/>
      <c r="AS107" s="495"/>
      <c r="AT107" s="495"/>
      <c r="AU107" s="495"/>
      <c r="AV107" s="495"/>
      <c r="AW107" s="495"/>
      <c r="AX107" s="495"/>
      <c r="AY107" s="495"/>
      <c r="AZ107" s="495"/>
      <c r="BA107" s="495"/>
      <c r="BB107" s="495"/>
      <c r="BC107" s="495"/>
      <c r="BD107" s="495"/>
      <c r="BE107" s="495"/>
      <c r="BF107" s="495"/>
      <c r="BG107" s="495"/>
      <c r="BH107" s="495"/>
      <c r="BI107" s="495"/>
      <c r="BJ107" s="495"/>
      <c r="BK107" s="495"/>
      <c r="BL107" s="495"/>
    </row>
    <row r="108" spans="1:64" ht="12">
      <c r="A108" s="495"/>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5"/>
      <c r="AY108" s="495"/>
      <c r="AZ108" s="495"/>
      <c r="BA108" s="495"/>
      <c r="BB108" s="495"/>
      <c r="BC108" s="495"/>
      <c r="BD108" s="495"/>
      <c r="BE108" s="495"/>
      <c r="BF108" s="495"/>
      <c r="BG108" s="495"/>
      <c r="BH108" s="495"/>
      <c r="BI108" s="495"/>
      <c r="BJ108" s="495"/>
      <c r="BK108" s="495"/>
      <c r="BL108" s="495"/>
    </row>
    <row r="109" spans="1:64" ht="12">
      <c r="A109" s="495"/>
      <c r="B109" s="495"/>
      <c r="C109" s="495"/>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495"/>
      <c r="AE109" s="495"/>
      <c r="AF109" s="495"/>
      <c r="AG109" s="495"/>
      <c r="AH109" s="495"/>
      <c r="AI109" s="495"/>
      <c r="AJ109" s="495"/>
      <c r="AK109" s="495"/>
      <c r="AL109" s="495"/>
      <c r="AM109" s="495"/>
      <c r="AN109" s="495"/>
      <c r="AO109" s="495"/>
      <c r="AP109" s="495"/>
      <c r="AQ109" s="495"/>
      <c r="AR109" s="495"/>
      <c r="AS109" s="495"/>
      <c r="AT109" s="495"/>
      <c r="AU109" s="495"/>
      <c r="AV109" s="495"/>
      <c r="AW109" s="495"/>
      <c r="AX109" s="495"/>
      <c r="AY109" s="495"/>
      <c r="AZ109" s="495"/>
      <c r="BA109" s="495"/>
      <c r="BB109" s="495"/>
      <c r="BC109" s="495"/>
      <c r="BD109" s="495"/>
      <c r="BE109" s="495"/>
      <c r="BF109" s="495"/>
      <c r="BG109" s="495"/>
      <c r="BH109" s="495"/>
      <c r="BI109" s="495"/>
      <c r="BJ109" s="495"/>
      <c r="BK109" s="495"/>
      <c r="BL109" s="495"/>
    </row>
    <row r="110" spans="1:64" ht="12">
      <c r="A110" s="495"/>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5"/>
      <c r="AY110" s="495"/>
      <c r="AZ110" s="495"/>
      <c r="BA110" s="495"/>
      <c r="BB110" s="495"/>
      <c r="BC110" s="495"/>
      <c r="BD110" s="495"/>
      <c r="BE110" s="495"/>
      <c r="BF110" s="495"/>
      <c r="BG110" s="495"/>
      <c r="BH110" s="495"/>
      <c r="BI110" s="495"/>
      <c r="BJ110" s="495"/>
      <c r="BK110" s="495"/>
      <c r="BL110" s="495"/>
    </row>
    <row r="111" spans="1:64" ht="12">
      <c r="A111" s="495"/>
      <c r="B111" s="495"/>
      <c r="C111" s="495"/>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495"/>
      <c r="AE111" s="495"/>
      <c r="AF111" s="495"/>
      <c r="AG111" s="495"/>
      <c r="AH111" s="495"/>
      <c r="AI111" s="495"/>
      <c r="AJ111" s="495"/>
      <c r="AK111" s="495"/>
      <c r="AL111" s="495"/>
      <c r="AM111" s="495"/>
      <c r="AN111" s="495"/>
      <c r="AO111" s="495"/>
      <c r="AP111" s="495"/>
      <c r="AQ111" s="495"/>
      <c r="AR111" s="495"/>
      <c r="AS111" s="495"/>
      <c r="AT111" s="495"/>
      <c r="AU111" s="495"/>
      <c r="AV111" s="495"/>
      <c r="AW111" s="495"/>
      <c r="AX111" s="495"/>
      <c r="AY111" s="495"/>
      <c r="AZ111" s="495"/>
      <c r="BA111" s="495"/>
      <c r="BB111" s="495"/>
      <c r="BC111" s="495"/>
      <c r="BD111" s="495"/>
      <c r="BE111" s="495"/>
      <c r="BF111" s="495"/>
      <c r="BG111" s="495"/>
      <c r="BH111" s="495"/>
      <c r="BI111" s="495"/>
      <c r="BJ111" s="495"/>
      <c r="BK111" s="495"/>
      <c r="BL111" s="495"/>
    </row>
    <row r="112" spans="1:64" ht="12">
      <c r="A112" s="495"/>
      <c r="B112" s="495"/>
      <c r="C112" s="495"/>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5"/>
      <c r="AG112" s="495"/>
      <c r="AH112" s="495"/>
      <c r="AI112" s="495"/>
      <c r="AJ112" s="495"/>
      <c r="AK112" s="495"/>
      <c r="AL112" s="495"/>
      <c r="AM112" s="495"/>
      <c r="AN112" s="495"/>
      <c r="AO112" s="495"/>
      <c r="AP112" s="495"/>
      <c r="AQ112" s="495"/>
      <c r="AR112" s="495"/>
      <c r="AS112" s="495"/>
      <c r="AT112" s="495"/>
      <c r="AU112" s="495"/>
      <c r="AV112" s="495"/>
      <c r="AW112" s="495"/>
      <c r="AX112" s="495"/>
      <c r="AY112" s="495"/>
      <c r="AZ112" s="495"/>
      <c r="BA112" s="495"/>
      <c r="BB112" s="495"/>
      <c r="BC112" s="495"/>
      <c r="BD112" s="495"/>
      <c r="BE112" s="495"/>
      <c r="BF112" s="495"/>
      <c r="BG112" s="495"/>
      <c r="BH112" s="495"/>
      <c r="BI112" s="495"/>
      <c r="BJ112" s="495"/>
      <c r="BK112" s="495"/>
      <c r="BL112" s="495"/>
    </row>
    <row r="113" spans="1:64" ht="12">
      <c r="A113" s="495"/>
      <c r="B113" s="495"/>
      <c r="C113" s="495"/>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5"/>
      <c r="AY113" s="495"/>
      <c r="AZ113" s="495"/>
      <c r="BA113" s="495"/>
      <c r="BB113" s="495"/>
      <c r="BC113" s="495"/>
      <c r="BD113" s="495"/>
      <c r="BE113" s="495"/>
      <c r="BF113" s="495"/>
      <c r="BG113" s="495"/>
      <c r="BH113" s="495"/>
      <c r="BI113" s="495"/>
      <c r="BJ113" s="495"/>
      <c r="BK113" s="495"/>
      <c r="BL113" s="495"/>
    </row>
    <row r="114" spans="1:64" ht="12">
      <c r="A114" s="495"/>
      <c r="B114" s="495"/>
      <c r="C114" s="495"/>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5"/>
      <c r="AY114" s="495"/>
      <c r="AZ114" s="495"/>
      <c r="BA114" s="495"/>
      <c r="BB114" s="495"/>
      <c r="BC114" s="495"/>
      <c r="BD114" s="495"/>
      <c r="BE114" s="495"/>
      <c r="BF114" s="495"/>
      <c r="BG114" s="495"/>
      <c r="BH114" s="495"/>
      <c r="BI114" s="495"/>
      <c r="BJ114" s="495"/>
      <c r="BK114" s="495"/>
      <c r="BL114" s="495"/>
    </row>
    <row r="115" spans="1:64" ht="12">
      <c r="A115" s="495"/>
      <c r="B115" s="495"/>
      <c r="C115" s="495"/>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495"/>
      <c r="AY115" s="495"/>
      <c r="AZ115" s="495"/>
      <c r="BA115" s="495"/>
      <c r="BB115" s="495"/>
      <c r="BC115" s="495"/>
      <c r="BD115" s="495"/>
      <c r="BE115" s="495"/>
      <c r="BF115" s="495"/>
      <c r="BG115" s="495"/>
      <c r="BH115" s="495"/>
      <c r="BI115" s="495"/>
      <c r="BJ115" s="495"/>
      <c r="BK115" s="495"/>
      <c r="BL115" s="495"/>
    </row>
    <row r="116" spans="1:64" ht="12">
      <c r="A116" s="495"/>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5"/>
      <c r="AY116" s="495"/>
      <c r="AZ116" s="495"/>
      <c r="BA116" s="495"/>
      <c r="BB116" s="495"/>
      <c r="BC116" s="495"/>
      <c r="BD116" s="495"/>
      <c r="BE116" s="495"/>
      <c r="BF116" s="495"/>
      <c r="BG116" s="495"/>
      <c r="BH116" s="495"/>
      <c r="BI116" s="495"/>
      <c r="BJ116" s="495"/>
      <c r="BK116" s="495"/>
      <c r="BL116" s="495"/>
    </row>
    <row r="117" spans="1:64" ht="12">
      <c r="A117" s="495"/>
      <c r="B117" s="495"/>
      <c r="C117" s="495"/>
      <c r="D117" s="495"/>
      <c r="E117" s="495"/>
      <c r="F117" s="495"/>
      <c r="G117" s="495"/>
      <c r="H117" s="495"/>
      <c r="I117" s="495"/>
      <c r="J117" s="495"/>
      <c r="K117" s="495"/>
      <c r="L117" s="495"/>
      <c r="M117" s="495"/>
      <c r="N117" s="495"/>
      <c r="O117" s="495"/>
      <c r="P117" s="495"/>
      <c r="Q117" s="495"/>
      <c r="R117" s="495"/>
      <c r="S117" s="495"/>
      <c r="T117" s="495"/>
      <c r="U117" s="495"/>
      <c r="V117" s="495"/>
      <c r="W117" s="495"/>
      <c r="X117" s="495"/>
      <c r="Y117" s="495"/>
      <c r="Z117" s="495"/>
      <c r="AA117" s="495"/>
      <c r="AB117" s="495"/>
      <c r="AC117" s="495"/>
      <c r="AD117" s="495"/>
      <c r="AE117" s="495"/>
      <c r="AF117" s="495"/>
      <c r="AG117" s="495"/>
      <c r="AH117" s="495"/>
      <c r="AI117" s="495"/>
      <c r="AJ117" s="495"/>
      <c r="AK117" s="495"/>
      <c r="AL117" s="495"/>
      <c r="AM117" s="495"/>
      <c r="AN117" s="495"/>
      <c r="AO117" s="495"/>
      <c r="AP117" s="495"/>
      <c r="AQ117" s="495"/>
      <c r="AR117" s="495"/>
      <c r="AS117" s="495"/>
      <c r="AT117" s="495"/>
      <c r="AU117" s="495"/>
      <c r="AV117" s="495"/>
      <c r="AW117" s="495"/>
      <c r="AX117" s="495"/>
      <c r="AY117" s="495"/>
      <c r="AZ117" s="495"/>
      <c r="BA117" s="495"/>
      <c r="BB117" s="495"/>
      <c r="BC117" s="495"/>
      <c r="BD117" s="495"/>
      <c r="BE117" s="495"/>
      <c r="BF117" s="495"/>
      <c r="BG117" s="495"/>
      <c r="BH117" s="495"/>
      <c r="BI117" s="495"/>
      <c r="BJ117" s="495"/>
      <c r="BK117" s="495"/>
      <c r="BL117" s="495"/>
    </row>
    <row r="118" spans="1:64" ht="12">
      <c r="A118" s="495"/>
      <c r="B118" s="495"/>
      <c r="C118" s="495"/>
      <c r="D118" s="495"/>
      <c r="E118" s="495"/>
      <c r="F118" s="495"/>
      <c r="G118" s="495"/>
      <c r="H118" s="495"/>
      <c r="I118" s="495"/>
      <c r="J118" s="495"/>
      <c r="K118" s="495"/>
      <c r="L118" s="495"/>
      <c r="M118" s="495"/>
      <c r="N118" s="495"/>
      <c r="O118" s="495"/>
      <c r="P118" s="495"/>
      <c r="Q118" s="495"/>
      <c r="R118" s="495"/>
      <c r="S118" s="495"/>
      <c r="T118" s="495"/>
      <c r="U118" s="495"/>
      <c r="V118" s="495"/>
      <c r="W118" s="495"/>
      <c r="X118" s="495"/>
      <c r="Y118" s="495"/>
      <c r="Z118" s="495"/>
      <c r="AA118" s="495"/>
      <c r="AB118" s="495"/>
      <c r="AC118" s="495"/>
      <c r="AD118" s="495"/>
      <c r="AE118" s="495"/>
      <c r="AF118" s="495"/>
      <c r="AG118" s="495"/>
      <c r="AH118" s="495"/>
      <c r="AI118" s="495"/>
      <c r="AJ118" s="495"/>
      <c r="AK118" s="495"/>
      <c r="AL118" s="495"/>
      <c r="AM118" s="495"/>
      <c r="AN118" s="495"/>
      <c r="AO118" s="495"/>
      <c r="AP118" s="495"/>
      <c r="AQ118" s="495"/>
      <c r="AR118" s="495"/>
      <c r="AS118" s="495"/>
      <c r="AT118" s="495"/>
      <c r="AU118" s="495"/>
      <c r="AV118" s="495"/>
      <c r="AW118" s="495"/>
      <c r="AX118" s="495"/>
      <c r="AY118" s="495"/>
      <c r="AZ118" s="495"/>
      <c r="BA118" s="495"/>
      <c r="BB118" s="495"/>
      <c r="BC118" s="495"/>
      <c r="BD118" s="495"/>
      <c r="BE118" s="495"/>
      <c r="BF118" s="495"/>
      <c r="BG118" s="495"/>
      <c r="BH118" s="495"/>
      <c r="BI118" s="495"/>
      <c r="BJ118" s="495"/>
      <c r="BK118" s="495"/>
      <c r="BL118" s="495"/>
    </row>
    <row r="119" spans="1:64" ht="12">
      <c r="A119" s="495"/>
      <c r="B119" s="495"/>
      <c r="C119" s="495"/>
      <c r="D119" s="495"/>
      <c r="E119" s="495"/>
      <c r="F119" s="495"/>
      <c r="G119" s="495"/>
      <c r="H119" s="495"/>
      <c r="I119" s="495"/>
      <c r="J119" s="495"/>
      <c r="K119" s="495"/>
      <c r="L119" s="495"/>
      <c r="M119" s="495"/>
      <c r="N119" s="495"/>
      <c r="O119" s="495"/>
      <c r="P119" s="495"/>
      <c r="Q119" s="495"/>
      <c r="R119" s="495"/>
      <c r="S119" s="495"/>
      <c r="T119" s="495"/>
      <c r="U119" s="495"/>
      <c r="V119" s="495"/>
      <c r="W119" s="495"/>
      <c r="X119" s="495"/>
      <c r="Y119" s="495"/>
      <c r="Z119" s="495"/>
      <c r="AA119" s="495"/>
      <c r="AB119" s="495"/>
      <c r="AC119" s="495"/>
      <c r="AD119" s="495"/>
      <c r="AE119" s="495"/>
      <c r="AF119" s="495"/>
      <c r="AG119" s="495"/>
      <c r="AH119" s="495"/>
      <c r="AI119" s="495"/>
      <c r="AJ119" s="495"/>
      <c r="AK119" s="495"/>
      <c r="AL119" s="495"/>
      <c r="AM119" s="495"/>
      <c r="AN119" s="495"/>
      <c r="AO119" s="495"/>
      <c r="AP119" s="495"/>
      <c r="AQ119" s="495"/>
      <c r="AR119" s="495"/>
      <c r="AS119" s="495"/>
      <c r="AT119" s="495"/>
      <c r="AU119" s="495"/>
      <c r="AV119" s="495"/>
      <c r="AW119" s="495"/>
      <c r="AX119" s="495"/>
      <c r="AY119" s="495"/>
      <c r="AZ119" s="495"/>
      <c r="BA119" s="495"/>
      <c r="BB119" s="495"/>
      <c r="BC119" s="495"/>
      <c r="BD119" s="495"/>
      <c r="BE119" s="495"/>
      <c r="BF119" s="495"/>
      <c r="BG119" s="495"/>
      <c r="BH119" s="495"/>
      <c r="BI119" s="495"/>
      <c r="BJ119" s="495"/>
      <c r="BK119" s="495"/>
      <c r="BL119" s="495"/>
    </row>
    <row r="120" spans="1:64" ht="12">
      <c r="A120" s="495"/>
      <c r="B120" s="495"/>
      <c r="C120" s="495"/>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495"/>
      <c r="AE120" s="495"/>
      <c r="AF120" s="495"/>
      <c r="AG120" s="495"/>
      <c r="AH120" s="495"/>
      <c r="AI120" s="495"/>
      <c r="AJ120" s="495"/>
      <c r="AK120" s="495"/>
      <c r="AL120" s="495"/>
      <c r="AM120" s="495"/>
      <c r="AN120" s="495"/>
      <c r="AO120" s="495"/>
      <c r="AP120" s="495"/>
      <c r="AQ120" s="495"/>
      <c r="AR120" s="495"/>
      <c r="AS120" s="495"/>
      <c r="AT120" s="495"/>
      <c r="AU120" s="495"/>
      <c r="AV120" s="495"/>
      <c r="AW120" s="495"/>
      <c r="AX120" s="495"/>
      <c r="AY120" s="495"/>
      <c r="AZ120" s="495"/>
      <c r="BA120" s="495"/>
      <c r="BB120" s="495"/>
      <c r="BC120" s="495"/>
      <c r="BD120" s="495"/>
      <c r="BE120" s="495"/>
      <c r="BF120" s="495"/>
      <c r="BG120" s="495"/>
      <c r="BH120" s="495"/>
      <c r="BI120" s="495"/>
      <c r="BJ120" s="495"/>
      <c r="BK120" s="495"/>
      <c r="BL120" s="495"/>
    </row>
    <row r="121" spans="1:64" ht="12">
      <c r="A121" s="495"/>
      <c r="B121" s="495"/>
      <c r="C121" s="495"/>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5"/>
      <c r="AY121" s="495"/>
      <c r="AZ121" s="495"/>
      <c r="BA121" s="495"/>
      <c r="BB121" s="495"/>
      <c r="BC121" s="495"/>
      <c r="BD121" s="495"/>
      <c r="BE121" s="495"/>
      <c r="BF121" s="495"/>
      <c r="BG121" s="495"/>
      <c r="BH121" s="495"/>
      <c r="BI121" s="495"/>
      <c r="BJ121" s="495"/>
      <c r="BK121" s="495"/>
      <c r="BL121" s="495"/>
    </row>
    <row r="122" spans="1:64" ht="12">
      <c r="A122" s="495"/>
      <c r="B122" s="495"/>
      <c r="C122" s="495"/>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5"/>
      <c r="AD122" s="495"/>
      <c r="AE122" s="495"/>
      <c r="AF122" s="495"/>
      <c r="AG122" s="495"/>
      <c r="AH122" s="495"/>
      <c r="AI122" s="495"/>
      <c r="AJ122" s="495"/>
      <c r="AK122" s="495"/>
      <c r="AL122" s="495"/>
      <c r="AM122" s="495"/>
      <c r="AN122" s="495"/>
      <c r="AO122" s="495"/>
      <c r="AP122" s="495"/>
      <c r="AQ122" s="495"/>
      <c r="AR122" s="495"/>
      <c r="AS122" s="495"/>
      <c r="AT122" s="495"/>
      <c r="AU122" s="495"/>
      <c r="AV122" s="495"/>
      <c r="AW122" s="495"/>
      <c r="AX122" s="495"/>
      <c r="AY122" s="495"/>
      <c r="AZ122" s="495"/>
      <c r="BA122" s="495"/>
      <c r="BB122" s="495"/>
      <c r="BC122" s="495"/>
      <c r="BD122" s="495"/>
      <c r="BE122" s="495"/>
      <c r="BF122" s="495"/>
      <c r="BG122" s="495"/>
      <c r="BH122" s="495"/>
      <c r="BI122" s="495"/>
      <c r="BJ122" s="495"/>
      <c r="BK122" s="495"/>
      <c r="BL122" s="495"/>
    </row>
    <row r="123" spans="1:64" ht="12">
      <c r="A123" s="495"/>
      <c r="B123" s="495"/>
      <c r="C123" s="495"/>
      <c r="D123" s="495"/>
      <c r="E123" s="495"/>
      <c r="F123" s="495"/>
      <c r="G123" s="495"/>
      <c r="H123" s="495"/>
      <c r="I123" s="495"/>
      <c r="J123" s="495"/>
      <c r="K123" s="495"/>
      <c r="L123" s="495"/>
      <c r="M123" s="495"/>
      <c r="N123" s="495"/>
      <c r="O123" s="495"/>
      <c r="P123" s="495"/>
      <c r="Q123" s="495"/>
      <c r="R123" s="495"/>
      <c r="S123" s="495"/>
      <c r="T123" s="495"/>
      <c r="U123" s="495"/>
      <c r="V123" s="495"/>
      <c r="W123" s="495"/>
      <c r="X123" s="495"/>
      <c r="Y123" s="495"/>
      <c r="Z123" s="495"/>
      <c r="AA123" s="495"/>
      <c r="AB123" s="495"/>
      <c r="AC123" s="495"/>
      <c r="AD123" s="495"/>
      <c r="AE123" s="495"/>
      <c r="AF123" s="495"/>
      <c r="AG123" s="495"/>
      <c r="AH123" s="495"/>
      <c r="AI123" s="495"/>
      <c r="AJ123" s="495"/>
      <c r="AK123" s="495"/>
      <c r="AL123" s="495"/>
      <c r="AM123" s="495"/>
      <c r="AN123" s="495"/>
      <c r="AO123" s="495"/>
      <c r="AP123" s="495"/>
      <c r="AQ123" s="495"/>
      <c r="AR123" s="495"/>
      <c r="AS123" s="495"/>
      <c r="AT123" s="495"/>
      <c r="AU123" s="495"/>
      <c r="AV123" s="495"/>
      <c r="AW123" s="495"/>
      <c r="AX123" s="495"/>
      <c r="AY123" s="495"/>
      <c r="AZ123" s="495"/>
      <c r="BA123" s="495"/>
      <c r="BB123" s="495"/>
      <c r="BC123" s="495"/>
      <c r="BD123" s="495"/>
      <c r="BE123" s="495"/>
      <c r="BF123" s="495"/>
      <c r="BG123" s="495"/>
      <c r="BH123" s="495"/>
      <c r="BI123" s="495"/>
      <c r="BJ123" s="495"/>
      <c r="BK123" s="495"/>
      <c r="BL123" s="495"/>
    </row>
    <row r="124" spans="1:64" ht="12">
      <c r="A124" s="495"/>
      <c r="B124" s="495"/>
      <c r="C124" s="495"/>
      <c r="D124" s="495"/>
      <c r="E124" s="495"/>
      <c r="F124" s="495"/>
      <c r="G124" s="495"/>
      <c r="H124" s="495"/>
      <c r="I124" s="495"/>
      <c r="J124" s="495"/>
      <c r="K124" s="495"/>
      <c r="L124" s="495"/>
      <c r="M124" s="495"/>
      <c r="N124" s="495"/>
      <c r="O124" s="495"/>
      <c r="P124" s="495"/>
      <c r="Q124" s="495"/>
      <c r="R124" s="495"/>
      <c r="S124" s="495"/>
      <c r="T124" s="495"/>
      <c r="U124" s="495"/>
      <c r="V124" s="495"/>
      <c r="W124" s="495"/>
      <c r="X124" s="495"/>
      <c r="Y124" s="495"/>
      <c r="Z124" s="495"/>
      <c r="AA124" s="495"/>
      <c r="AB124" s="495"/>
      <c r="AC124" s="495"/>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5"/>
      <c r="AY124" s="495"/>
      <c r="AZ124" s="495"/>
      <c r="BA124" s="495"/>
      <c r="BB124" s="495"/>
      <c r="BC124" s="495"/>
      <c r="BD124" s="495"/>
      <c r="BE124" s="495"/>
      <c r="BF124" s="495"/>
      <c r="BG124" s="495"/>
      <c r="BH124" s="495"/>
      <c r="BI124" s="495"/>
      <c r="BJ124" s="495"/>
      <c r="BK124" s="495"/>
      <c r="BL124" s="495"/>
    </row>
    <row r="125" spans="1:64" ht="12">
      <c r="A125" s="495"/>
      <c r="B125" s="495"/>
      <c r="C125" s="495"/>
      <c r="D125" s="495"/>
      <c r="E125" s="495"/>
      <c r="F125" s="495"/>
      <c r="G125" s="495"/>
      <c r="H125" s="495"/>
      <c r="I125" s="495"/>
      <c r="J125" s="495"/>
      <c r="K125" s="495"/>
      <c r="L125" s="495"/>
      <c r="M125" s="495"/>
      <c r="N125" s="495"/>
      <c r="O125" s="495"/>
      <c r="P125" s="495"/>
      <c r="Q125" s="495"/>
      <c r="R125" s="495"/>
      <c r="S125" s="495"/>
      <c r="T125" s="495"/>
      <c r="U125" s="495"/>
      <c r="V125" s="495"/>
      <c r="W125" s="495"/>
      <c r="X125" s="495"/>
      <c r="Y125" s="495"/>
      <c r="Z125" s="495"/>
      <c r="AA125" s="495"/>
      <c r="AB125" s="495"/>
      <c r="AC125" s="495"/>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5"/>
      <c r="AY125" s="495"/>
      <c r="AZ125" s="495"/>
      <c r="BA125" s="495"/>
      <c r="BB125" s="495"/>
      <c r="BC125" s="495"/>
      <c r="BD125" s="495"/>
      <c r="BE125" s="495"/>
      <c r="BF125" s="495"/>
      <c r="BG125" s="495"/>
      <c r="BH125" s="495"/>
      <c r="BI125" s="495"/>
      <c r="BJ125" s="495"/>
      <c r="BK125" s="495"/>
      <c r="BL125" s="495"/>
    </row>
    <row r="126" spans="1:64" ht="12">
      <c r="A126" s="495"/>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5"/>
    </row>
    <row r="127" spans="1:64" ht="12">
      <c r="A127" s="495"/>
      <c r="B127" s="495"/>
      <c r="C127" s="495"/>
      <c r="D127" s="495"/>
      <c r="E127" s="495"/>
      <c r="F127" s="495"/>
      <c r="G127" s="495"/>
      <c r="H127" s="495"/>
      <c r="I127" s="495"/>
      <c r="J127" s="495"/>
      <c r="K127" s="495"/>
      <c r="L127" s="495"/>
      <c r="M127" s="495"/>
      <c r="N127" s="495"/>
      <c r="O127" s="495"/>
      <c r="P127" s="495"/>
      <c r="Q127" s="495"/>
      <c r="R127" s="495"/>
      <c r="S127" s="495"/>
      <c r="T127" s="495"/>
      <c r="U127" s="495"/>
      <c r="V127" s="495"/>
      <c r="W127" s="495"/>
      <c r="X127" s="495"/>
      <c r="Y127" s="495"/>
      <c r="Z127" s="495"/>
      <c r="AA127" s="495"/>
      <c r="AB127" s="495"/>
      <c r="AC127" s="495"/>
      <c r="AD127" s="495"/>
      <c r="AE127" s="495"/>
      <c r="AF127" s="495"/>
      <c r="AG127" s="495"/>
      <c r="AH127" s="495"/>
      <c r="AI127" s="495"/>
      <c r="AJ127" s="495"/>
      <c r="AK127" s="495"/>
      <c r="AL127" s="495"/>
      <c r="AM127" s="495"/>
      <c r="AN127" s="495"/>
      <c r="AO127" s="495"/>
      <c r="AP127" s="495"/>
      <c r="AQ127" s="495"/>
      <c r="AR127" s="495"/>
      <c r="AS127" s="495"/>
      <c r="AT127" s="495"/>
      <c r="AU127" s="495"/>
      <c r="AV127" s="495"/>
      <c r="AW127" s="495"/>
      <c r="AX127" s="495"/>
      <c r="AY127" s="495"/>
      <c r="AZ127" s="495"/>
      <c r="BA127" s="495"/>
      <c r="BB127" s="495"/>
      <c r="BC127" s="495"/>
      <c r="BD127" s="495"/>
      <c r="BE127" s="495"/>
      <c r="BF127" s="495"/>
      <c r="BG127" s="495"/>
      <c r="BH127" s="495"/>
      <c r="BI127" s="495"/>
      <c r="BJ127" s="495"/>
      <c r="BK127" s="495"/>
      <c r="BL127" s="495"/>
    </row>
    <row r="128" spans="1:64" ht="12">
      <c r="A128" s="495"/>
      <c r="B128" s="495"/>
      <c r="C128" s="495"/>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95"/>
      <c r="AC128" s="495"/>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5"/>
      <c r="AY128" s="495"/>
      <c r="AZ128" s="495"/>
      <c r="BA128" s="495"/>
      <c r="BB128" s="495"/>
      <c r="BC128" s="495"/>
      <c r="BD128" s="495"/>
      <c r="BE128" s="495"/>
      <c r="BF128" s="495"/>
      <c r="BG128" s="495"/>
      <c r="BH128" s="495"/>
      <c r="BI128" s="495"/>
      <c r="BJ128" s="495"/>
      <c r="BK128" s="495"/>
      <c r="BL128" s="495"/>
    </row>
    <row r="129" spans="1:64" ht="12">
      <c r="A129" s="495"/>
      <c r="B129" s="495"/>
      <c r="C129" s="495"/>
      <c r="D129" s="495"/>
      <c r="E129" s="495"/>
      <c r="F129" s="495"/>
      <c r="G129" s="495"/>
      <c r="H129" s="495"/>
      <c r="I129" s="495"/>
      <c r="J129" s="495"/>
      <c r="K129" s="495"/>
      <c r="L129" s="495"/>
      <c r="M129" s="495"/>
      <c r="N129" s="495"/>
      <c r="O129" s="495"/>
      <c r="P129" s="495"/>
      <c r="Q129" s="495"/>
      <c r="R129" s="495"/>
      <c r="S129" s="495"/>
      <c r="T129" s="495"/>
      <c r="U129" s="495"/>
      <c r="V129" s="495"/>
      <c r="W129" s="495"/>
      <c r="X129" s="495"/>
      <c r="Y129" s="495"/>
      <c r="Z129" s="495"/>
      <c r="AA129" s="495"/>
      <c r="AB129" s="495"/>
      <c r="AC129" s="495"/>
      <c r="AD129" s="495"/>
      <c r="AE129" s="495"/>
      <c r="AF129" s="495"/>
      <c r="AG129" s="495"/>
      <c r="AH129" s="495"/>
      <c r="AI129" s="495"/>
      <c r="AJ129" s="495"/>
      <c r="AK129" s="495"/>
      <c r="AL129" s="495"/>
      <c r="AM129" s="495"/>
      <c r="AN129" s="495"/>
      <c r="AO129" s="495"/>
      <c r="AP129" s="495"/>
      <c r="AQ129" s="495"/>
      <c r="AR129" s="495"/>
      <c r="AS129" s="495"/>
      <c r="AT129" s="495"/>
      <c r="AU129" s="495"/>
      <c r="AV129" s="495"/>
      <c r="AW129" s="495"/>
      <c r="AX129" s="495"/>
      <c r="AY129" s="495"/>
      <c r="AZ129" s="495"/>
      <c r="BA129" s="495"/>
      <c r="BB129" s="495"/>
      <c r="BC129" s="495"/>
      <c r="BD129" s="495"/>
      <c r="BE129" s="495"/>
      <c r="BF129" s="495"/>
      <c r="BG129" s="495"/>
      <c r="BH129" s="495"/>
      <c r="BI129" s="495"/>
      <c r="BJ129" s="495"/>
      <c r="BK129" s="495"/>
      <c r="BL129" s="495"/>
    </row>
    <row r="130" spans="1:64" ht="12">
      <c r="A130" s="495"/>
      <c r="B130" s="495"/>
      <c r="C130" s="495"/>
      <c r="D130" s="495"/>
      <c r="E130" s="495"/>
      <c r="F130" s="495"/>
      <c r="G130" s="495"/>
      <c r="H130" s="495"/>
      <c r="I130" s="495"/>
      <c r="J130" s="495"/>
      <c r="K130" s="495"/>
      <c r="L130" s="495"/>
      <c r="M130" s="495"/>
      <c r="N130" s="495"/>
      <c r="O130" s="495"/>
      <c r="P130" s="495"/>
      <c r="Q130" s="495"/>
      <c r="R130" s="495"/>
      <c r="S130" s="495"/>
      <c r="T130" s="495"/>
      <c r="U130" s="495"/>
      <c r="V130" s="495"/>
      <c r="W130" s="495"/>
      <c r="X130" s="495"/>
      <c r="Y130" s="495"/>
      <c r="Z130" s="495"/>
      <c r="AA130" s="495"/>
      <c r="AB130" s="495"/>
      <c r="AC130" s="495"/>
      <c r="AD130" s="495"/>
      <c r="AE130" s="495"/>
      <c r="AF130" s="495"/>
      <c r="AG130" s="495"/>
      <c r="AH130" s="495"/>
      <c r="AI130" s="495"/>
      <c r="AJ130" s="495"/>
      <c r="AK130" s="495"/>
      <c r="AL130" s="495"/>
      <c r="AM130" s="495"/>
      <c r="AN130" s="495"/>
      <c r="AO130" s="495"/>
      <c r="AP130" s="495"/>
      <c r="AQ130" s="495"/>
      <c r="AR130" s="495"/>
      <c r="AS130" s="495"/>
      <c r="AT130" s="495"/>
      <c r="AU130" s="495"/>
      <c r="AV130" s="495"/>
      <c r="AW130" s="495"/>
      <c r="AX130" s="495"/>
      <c r="AY130" s="495"/>
      <c r="AZ130" s="495"/>
      <c r="BA130" s="495"/>
      <c r="BB130" s="495"/>
      <c r="BC130" s="495"/>
      <c r="BD130" s="495"/>
      <c r="BE130" s="495"/>
      <c r="BF130" s="495"/>
      <c r="BG130" s="495"/>
      <c r="BH130" s="495"/>
      <c r="BI130" s="495"/>
      <c r="BJ130" s="495"/>
      <c r="BK130" s="495"/>
      <c r="BL130" s="495"/>
    </row>
    <row r="131" spans="1:64" ht="12">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5"/>
      <c r="AM131" s="495"/>
      <c r="AN131" s="495"/>
      <c r="AO131" s="495"/>
      <c r="AP131" s="495"/>
      <c r="AQ131" s="495"/>
      <c r="AR131" s="495"/>
      <c r="AS131" s="495"/>
      <c r="AT131" s="495"/>
      <c r="AU131" s="495"/>
      <c r="AV131" s="495"/>
      <c r="AW131" s="495"/>
      <c r="AX131" s="495"/>
      <c r="AY131" s="495"/>
      <c r="AZ131" s="495"/>
      <c r="BA131" s="495"/>
      <c r="BB131" s="495"/>
      <c r="BC131" s="495"/>
      <c r="BD131" s="495"/>
      <c r="BE131" s="495"/>
      <c r="BF131" s="495"/>
      <c r="BG131" s="495"/>
      <c r="BH131" s="495"/>
      <c r="BI131" s="495"/>
      <c r="BJ131" s="495"/>
      <c r="BK131" s="495"/>
      <c r="BL131" s="495"/>
    </row>
    <row r="132" spans="1:64" ht="12">
      <c r="A132" s="495"/>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495"/>
      <c r="AM132" s="495"/>
      <c r="AN132" s="495"/>
      <c r="AO132" s="495"/>
      <c r="AP132" s="495"/>
      <c r="AQ132" s="495"/>
      <c r="AR132" s="495"/>
      <c r="AS132" s="495"/>
      <c r="AT132" s="495"/>
      <c r="AU132" s="495"/>
      <c r="AV132" s="495"/>
      <c r="AW132" s="495"/>
      <c r="AX132" s="495"/>
      <c r="AY132" s="495"/>
      <c r="AZ132" s="495"/>
      <c r="BA132" s="495"/>
      <c r="BB132" s="495"/>
      <c r="BC132" s="495"/>
      <c r="BD132" s="495"/>
      <c r="BE132" s="495"/>
      <c r="BF132" s="495"/>
      <c r="BG132" s="495"/>
      <c r="BH132" s="495"/>
      <c r="BI132" s="495"/>
      <c r="BJ132" s="495"/>
      <c r="BK132" s="495"/>
      <c r="BL132" s="495"/>
    </row>
    <row r="133" spans="1:64" ht="12">
      <c r="A133" s="495"/>
      <c r="B133" s="495"/>
      <c r="C133" s="495"/>
      <c r="D133" s="495"/>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c r="AP133" s="495"/>
      <c r="AQ133" s="495"/>
      <c r="AR133" s="495"/>
      <c r="AS133" s="495"/>
      <c r="AT133" s="495"/>
      <c r="AU133" s="495"/>
      <c r="AV133" s="495"/>
      <c r="AW133" s="495"/>
      <c r="AX133" s="495"/>
      <c r="AY133" s="495"/>
      <c r="AZ133" s="495"/>
      <c r="BA133" s="495"/>
      <c r="BB133" s="495"/>
      <c r="BC133" s="495"/>
      <c r="BD133" s="495"/>
      <c r="BE133" s="495"/>
      <c r="BF133" s="495"/>
      <c r="BG133" s="495"/>
      <c r="BH133" s="495"/>
      <c r="BI133" s="495"/>
      <c r="BJ133" s="495"/>
      <c r="BK133" s="495"/>
      <c r="BL133" s="495"/>
    </row>
    <row r="134" spans="1:64" ht="12">
      <c r="A134" s="495"/>
      <c r="B134" s="495"/>
      <c r="C134" s="495"/>
      <c r="D134" s="495"/>
      <c r="E134" s="495"/>
      <c r="F134" s="495"/>
      <c r="G134" s="495"/>
      <c r="H134" s="495"/>
      <c r="I134" s="495"/>
      <c r="J134" s="495"/>
      <c r="K134" s="495"/>
      <c r="L134" s="495"/>
      <c r="M134" s="495"/>
      <c r="N134" s="495"/>
      <c r="O134" s="495"/>
      <c r="P134" s="495"/>
      <c r="Q134" s="495"/>
      <c r="R134" s="495"/>
      <c r="S134" s="495"/>
      <c r="T134" s="495"/>
      <c r="U134" s="495"/>
      <c r="V134" s="495"/>
      <c r="W134" s="495"/>
      <c r="X134" s="495"/>
      <c r="Y134" s="495"/>
      <c r="Z134" s="495"/>
      <c r="AA134" s="495"/>
      <c r="AB134" s="495"/>
      <c r="AC134" s="495"/>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5"/>
      <c r="AY134" s="495"/>
      <c r="AZ134" s="495"/>
      <c r="BA134" s="495"/>
      <c r="BB134" s="495"/>
      <c r="BC134" s="495"/>
      <c r="BD134" s="495"/>
      <c r="BE134" s="495"/>
      <c r="BF134" s="495"/>
      <c r="BG134" s="495"/>
      <c r="BH134" s="495"/>
      <c r="BI134" s="495"/>
      <c r="BJ134" s="495"/>
      <c r="BK134" s="495"/>
      <c r="BL134" s="495"/>
    </row>
    <row r="135" spans="1:64" ht="12">
      <c r="A135" s="495"/>
      <c r="B135" s="495"/>
      <c r="C135" s="495"/>
      <c r="D135" s="495"/>
      <c r="E135" s="495"/>
      <c r="F135" s="495"/>
      <c r="G135" s="495"/>
      <c r="H135" s="495"/>
      <c r="I135" s="495"/>
      <c r="J135" s="495"/>
      <c r="K135" s="495"/>
      <c r="L135" s="495"/>
      <c r="M135" s="495"/>
      <c r="N135" s="495"/>
      <c r="O135" s="495"/>
      <c r="P135" s="495"/>
      <c r="Q135" s="495"/>
      <c r="R135" s="495"/>
      <c r="S135" s="495"/>
      <c r="T135" s="495"/>
      <c r="U135" s="495"/>
      <c r="V135" s="495"/>
      <c r="W135" s="495"/>
      <c r="X135" s="495"/>
      <c r="Y135" s="495"/>
      <c r="Z135" s="495"/>
      <c r="AA135" s="495"/>
      <c r="AB135" s="495"/>
      <c r="AC135" s="495"/>
      <c r="AD135" s="495"/>
      <c r="AE135" s="495"/>
      <c r="AF135" s="495"/>
      <c r="AG135" s="495"/>
      <c r="AH135" s="495"/>
      <c r="AI135" s="495"/>
      <c r="AJ135" s="495"/>
      <c r="AK135" s="495"/>
      <c r="AL135" s="495"/>
      <c r="AM135" s="495"/>
      <c r="AN135" s="495"/>
      <c r="AO135" s="495"/>
      <c r="AP135" s="495"/>
      <c r="AQ135" s="495"/>
      <c r="AR135" s="495"/>
      <c r="AS135" s="495"/>
      <c r="AT135" s="495"/>
      <c r="AU135" s="495"/>
      <c r="AV135" s="495"/>
      <c r="AW135" s="495"/>
      <c r="AX135" s="495"/>
      <c r="AY135" s="495"/>
      <c r="AZ135" s="495"/>
      <c r="BA135" s="495"/>
      <c r="BB135" s="495"/>
      <c r="BC135" s="495"/>
      <c r="BD135" s="495"/>
      <c r="BE135" s="495"/>
      <c r="BF135" s="495"/>
      <c r="BG135" s="495"/>
      <c r="BH135" s="495"/>
      <c r="BI135" s="495"/>
      <c r="BJ135" s="495"/>
      <c r="BK135" s="495"/>
      <c r="BL135" s="495"/>
    </row>
    <row r="136" spans="1:64" ht="12">
      <c r="A136" s="495"/>
      <c r="B136" s="495"/>
      <c r="C136" s="495"/>
      <c r="D136" s="495"/>
      <c r="E136" s="495"/>
      <c r="F136" s="495"/>
      <c r="G136" s="495"/>
      <c r="H136" s="495"/>
      <c r="I136" s="495"/>
      <c r="J136" s="495"/>
      <c r="K136" s="495"/>
      <c r="L136" s="495"/>
      <c r="M136" s="495"/>
      <c r="N136" s="495"/>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5"/>
      <c r="AY136" s="495"/>
      <c r="AZ136" s="495"/>
      <c r="BA136" s="495"/>
      <c r="BB136" s="495"/>
      <c r="BC136" s="495"/>
      <c r="BD136" s="495"/>
      <c r="BE136" s="495"/>
      <c r="BF136" s="495"/>
      <c r="BG136" s="495"/>
      <c r="BH136" s="495"/>
      <c r="BI136" s="495"/>
      <c r="BJ136" s="495"/>
      <c r="BK136" s="495"/>
      <c r="BL136" s="495"/>
    </row>
    <row r="137" spans="1:64" ht="12">
      <c r="A137" s="495"/>
      <c r="B137" s="495"/>
      <c r="C137" s="495"/>
      <c r="D137" s="495"/>
      <c r="E137" s="495"/>
      <c r="F137" s="495"/>
      <c r="G137" s="495"/>
      <c r="H137" s="495"/>
      <c r="I137" s="495"/>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c r="AP137" s="495"/>
      <c r="AQ137" s="495"/>
      <c r="AR137" s="495"/>
      <c r="AS137" s="495"/>
      <c r="AT137" s="495"/>
      <c r="AU137" s="495"/>
      <c r="AV137" s="495"/>
      <c r="AW137" s="495"/>
      <c r="AX137" s="495"/>
      <c r="AY137" s="495"/>
      <c r="AZ137" s="495"/>
      <c r="BA137" s="495"/>
      <c r="BB137" s="495"/>
      <c r="BC137" s="495"/>
      <c r="BD137" s="495"/>
      <c r="BE137" s="495"/>
      <c r="BF137" s="495"/>
      <c r="BG137" s="495"/>
      <c r="BH137" s="495"/>
      <c r="BI137" s="495"/>
      <c r="BJ137" s="495"/>
      <c r="BK137" s="495"/>
      <c r="BL137" s="495"/>
    </row>
    <row r="138" spans="1:64" ht="12">
      <c r="A138" s="495"/>
      <c r="B138" s="495"/>
      <c r="C138" s="495"/>
      <c r="D138" s="495"/>
      <c r="E138" s="495"/>
      <c r="F138" s="495"/>
      <c r="G138" s="495"/>
      <c r="H138" s="495"/>
      <c r="I138" s="495"/>
      <c r="J138" s="495"/>
      <c r="K138" s="495"/>
      <c r="L138" s="495"/>
      <c r="M138" s="495"/>
      <c r="N138" s="495"/>
      <c r="O138" s="495"/>
      <c r="P138" s="495"/>
      <c r="Q138" s="495"/>
      <c r="R138" s="495"/>
      <c r="S138" s="495"/>
      <c r="T138" s="495"/>
      <c r="U138" s="495"/>
      <c r="V138" s="495"/>
      <c r="W138" s="495"/>
      <c r="X138" s="495"/>
      <c r="Y138" s="495"/>
      <c r="Z138" s="495"/>
      <c r="AA138" s="495"/>
      <c r="AB138" s="495"/>
      <c r="AC138" s="495"/>
      <c r="AD138" s="495"/>
      <c r="AE138" s="495"/>
      <c r="AF138" s="495"/>
      <c r="AG138" s="495"/>
      <c r="AH138" s="495"/>
      <c r="AI138" s="495"/>
      <c r="AJ138" s="495"/>
      <c r="AK138" s="495"/>
      <c r="AL138" s="495"/>
      <c r="AM138" s="495"/>
      <c r="AN138" s="495"/>
      <c r="AO138" s="495"/>
      <c r="AP138" s="495"/>
      <c r="AQ138" s="495"/>
      <c r="AR138" s="495"/>
      <c r="AS138" s="495"/>
      <c r="AT138" s="495"/>
      <c r="AU138" s="495"/>
      <c r="AV138" s="495"/>
      <c r="AW138" s="495"/>
      <c r="AX138" s="495"/>
      <c r="AY138" s="495"/>
      <c r="AZ138" s="495"/>
      <c r="BA138" s="495"/>
      <c r="BB138" s="495"/>
      <c r="BC138" s="495"/>
      <c r="BD138" s="495"/>
      <c r="BE138" s="495"/>
      <c r="BF138" s="495"/>
      <c r="BG138" s="495"/>
      <c r="BH138" s="495"/>
      <c r="BI138" s="495"/>
      <c r="BJ138" s="495"/>
      <c r="BK138" s="495"/>
      <c r="BL138" s="495"/>
    </row>
    <row r="139" spans="1:64" ht="12">
      <c r="A139" s="495"/>
      <c r="B139" s="495"/>
      <c r="C139" s="495"/>
      <c r="D139" s="495"/>
      <c r="E139" s="495"/>
      <c r="F139" s="495"/>
      <c r="G139" s="495"/>
      <c r="H139" s="495"/>
      <c r="I139" s="495"/>
      <c r="J139" s="495"/>
      <c r="K139" s="495"/>
      <c r="L139" s="495"/>
      <c r="M139" s="495"/>
      <c r="N139" s="495"/>
      <c r="O139" s="495"/>
      <c r="P139" s="495"/>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c r="AP139" s="495"/>
      <c r="AQ139" s="495"/>
      <c r="AR139" s="495"/>
      <c r="AS139" s="495"/>
      <c r="AT139" s="495"/>
      <c r="AU139" s="495"/>
      <c r="AV139" s="495"/>
      <c r="AW139" s="495"/>
      <c r="AX139" s="495"/>
      <c r="AY139" s="495"/>
      <c r="AZ139" s="495"/>
      <c r="BA139" s="495"/>
      <c r="BB139" s="495"/>
      <c r="BC139" s="495"/>
      <c r="BD139" s="495"/>
      <c r="BE139" s="495"/>
      <c r="BF139" s="495"/>
      <c r="BG139" s="495"/>
      <c r="BH139" s="495"/>
      <c r="BI139" s="495"/>
      <c r="BJ139" s="495"/>
      <c r="BK139" s="495"/>
      <c r="BL139" s="495"/>
    </row>
    <row r="140" spans="1:64" ht="12">
      <c r="A140" s="495"/>
      <c r="B140" s="495"/>
      <c r="C140" s="495"/>
      <c r="D140" s="495"/>
      <c r="E140" s="495"/>
      <c r="F140" s="495"/>
      <c r="G140" s="495"/>
      <c r="H140" s="495"/>
      <c r="I140" s="495"/>
      <c r="J140" s="495"/>
      <c r="K140" s="495"/>
      <c r="L140" s="495"/>
      <c r="M140" s="495"/>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495"/>
      <c r="AL140" s="495"/>
      <c r="AM140" s="495"/>
      <c r="AN140" s="495"/>
      <c r="AO140" s="495"/>
      <c r="AP140" s="495"/>
      <c r="AQ140" s="495"/>
      <c r="AR140" s="495"/>
      <c r="AS140" s="495"/>
      <c r="AT140" s="495"/>
      <c r="AU140" s="495"/>
      <c r="AV140" s="495"/>
      <c r="AW140" s="495"/>
      <c r="AX140" s="495"/>
      <c r="AY140" s="495"/>
      <c r="AZ140" s="495"/>
      <c r="BA140" s="495"/>
      <c r="BB140" s="495"/>
      <c r="BC140" s="495"/>
      <c r="BD140" s="495"/>
      <c r="BE140" s="495"/>
      <c r="BF140" s="495"/>
      <c r="BG140" s="495"/>
      <c r="BH140" s="495"/>
      <c r="BI140" s="495"/>
      <c r="BJ140" s="495"/>
      <c r="BK140" s="495"/>
      <c r="BL140" s="495"/>
    </row>
    <row r="141" spans="1:64" ht="12">
      <c r="A141" s="495"/>
      <c r="B141" s="495"/>
      <c r="C141" s="495"/>
      <c r="D141" s="495"/>
      <c r="E141" s="495"/>
      <c r="F141" s="495"/>
      <c r="G141" s="495"/>
      <c r="H141" s="495"/>
      <c r="I141" s="495"/>
      <c r="J141" s="495"/>
      <c r="K141" s="495"/>
      <c r="L141" s="495"/>
      <c r="M141" s="495"/>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c r="AP141" s="495"/>
      <c r="AQ141" s="495"/>
      <c r="AR141" s="495"/>
      <c r="AS141" s="495"/>
      <c r="AT141" s="495"/>
      <c r="AU141" s="495"/>
      <c r="AV141" s="495"/>
      <c r="AW141" s="495"/>
      <c r="AX141" s="495"/>
      <c r="AY141" s="495"/>
      <c r="AZ141" s="495"/>
      <c r="BA141" s="495"/>
      <c r="BB141" s="495"/>
      <c r="BC141" s="495"/>
      <c r="BD141" s="495"/>
      <c r="BE141" s="495"/>
      <c r="BF141" s="495"/>
      <c r="BG141" s="495"/>
      <c r="BH141" s="495"/>
      <c r="BI141" s="495"/>
      <c r="BJ141" s="495"/>
      <c r="BK141" s="495"/>
      <c r="BL141" s="495"/>
    </row>
    <row r="142" spans="1:64" ht="12">
      <c r="A142" s="495"/>
      <c r="B142" s="495"/>
      <c r="C142" s="495"/>
      <c r="D142" s="495"/>
      <c r="E142" s="495"/>
      <c r="F142" s="495"/>
      <c r="G142" s="495"/>
      <c r="H142" s="495"/>
      <c r="I142" s="495"/>
      <c r="J142" s="495"/>
      <c r="K142" s="495"/>
      <c r="L142" s="495"/>
      <c r="M142" s="495"/>
      <c r="N142" s="495"/>
      <c r="O142" s="495"/>
      <c r="P142" s="495"/>
      <c r="Q142" s="495"/>
      <c r="R142" s="495"/>
      <c r="S142" s="495"/>
      <c r="T142" s="495"/>
      <c r="U142" s="495"/>
      <c r="V142" s="495"/>
      <c r="W142" s="495"/>
      <c r="X142" s="495"/>
      <c r="Y142" s="495"/>
      <c r="Z142" s="495"/>
      <c r="AA142" s="495"/>
      <c r="AB142" s="495"/>
      <c r="AC142" s="495"/>
      <c r="AD142" s="495"/>
      <c r="AE142" s="495"/>
      <c r="AF142" s="495"/>
      <c r="AG142" s="495"/>
      <c r="AH142" s="495"/>
      <c r="AI142" s="495"/>
      <c r="AJ142" s="495"/>
      <c r="AK142" s="495"/>
      <c r="AL142" s="495"/>
      <c r="AM142" s="495"/>
      <c r="AN142" s="495"/>
      <c r="AO142" s="495"/>
      <c r="AP142" s="495"/>
      <c r="AQ142" s="495"/>
      <c r="AR142" s="495"/>
      <c r="AS142" s="495"/>
      <c r="AT142" s="495"/>
      <c r="AU142" s="495"/>
      <c r="AV142" s="495"/>
      <c r="AW142" s="495"/>
      <c r="AX142" s="495"/>
      <c r="AY142" s="495"/>
      <c r="AZ142" s="495"/>
      <c r="BA142" s="495"/>
      <c r="BB142" s="495"/>
      <c r="BC142" s="495"/>
      <c r="BD142" s="495"/>
      <c r="BE142" s="495"/>
      <c r="BF142" s="495"/>
      <c r="BG142" s="495"/>
      <c r="BH142" s="495"/>
      <c r="BI142" s="495"/>
      <c r="BJ142" s="495"/>
      <c r="BK142" s="495"/>
      <c r="BL142" s="495"/>
    </row>
    <row r="143" spans="1:64" ht="12">
      <c r="A143" s="495"/>
      <c r="B143" s="495"/>
      <c r="C143" s="495"/>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c r="AP143" s="495"/>
      <c r="AQ143" s="495"/>
      <c r="AR143" s="495"/>
      <c r="AS143" s="495"/>
      <c r="AT143" s="495"/>
      <c r="AU143" s="495"/>
      <c r="AV143" s="495"/>
      <c r="AW143" s="495"/>
      <c r="AX143" s="495"/>
      <c r="AY143" s="495"/>
      <c r="AZ143" s="495"/>
      <c r="BA143" s="495"/>
      <c r="BB143" s="495"/>
      <c r="BC143" s="495"/>
      <c r="BD143" s="495"/>
      <c r="BE143" s="495"/>
      <c r="BF143" s="495"/>
      <c r="BG143" s="495"/>
      <c r="BH143" s="495"/>
      <c r="BI143" s="495"/>
      <c r="BJ143" s="495"/>
      <c r="BK143" s="495"/>
      <c r="BL143" s="495"/>
    </row>
    <row r="144" spans="1:64" ht="12">
      <c r="A144" s="495"/>
      <c r="B144" s="495"/>
      <c r="C144" s="495"/>
      <c r="D144" s="495"/>
      <c r="E144" s="495"/>
      <c r="F144" s="495"/>
      <c r="G144" s="495"/>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5"/>
      <c r="AY144" s="495"/>
      <c r="AZ144" s="495"/>
      <c r="BA144" s="495"/>
      <c r="BB144" s="495"/>
      <c r="BC144" s="495"/>
      <c r="BD144" s="495"/>
      <c r="BE144" s="495"/>
      <c r="BF144" s="495"/>
      <c r="BG144" s="495"/>
      <c r="BH144" s="495"/>
      <c r="BI144" s="495"/>
      <c r="BJ144" s="495"/>
      <c r="BK144" s="495"/>
      <c r="BL144" s="495"/>
    </row>
    <row r="145" spans="1:64" ht="12">
      <c r="A145" s="495"/>
      <c r="B145" s="495"/>
      <c r="C145" s="495"/>
      <c r="D145" s="495"/>
      <c r="E145" s="495"/>
      <c r="F145" s="495"/>
      <c r="G145" s="495"/>
      <c r="H145" s="495"/>
      <c r="I145" s="495"/>
      <c r="J145" s="495"/>
      <c r="K145" s="495"/>
      <c r="L145" s="495"/>
      <c r="M145" s="495"/>
      <c r="N145" s="495"/>
      <c r="O145" s="495"/>
      <c r="P145" s="495"/>
      <c r="Q145" s="495"/>
      <c r="R145" s="495"/>
      <c r="S145" s="495"/>
      <c r="T145" s="495"/>
      <c r="U145" s="495"/>
      <c r="V145" s="495"/>
      <c r="W145" s="495"/>
      <c r="X145" s="495"/>
      <c r="Y145" s="495"/>
      <c r="Z145" s="495"/>
      <c r="AA145" s="495"/>
      <c r="AB145" s="495"/>
      <c r="AC145" s="495"/>
      <c r="AD145" s="495"/>
      <c r="AE145" s="495"/>
      <c r="AF145" s="495"/>
      <c r="AG145" s="495"/>
      <c r="AH145" s="495"/>
      <c r="AI145" s="495"/>
      <c r="AJ145" s="495"/>
      <c r="AK145" s="495"/>
      <c r="AL145" s="495"/>
      <c r="AM145" s="495"/>
      <c r="AN145" s="495"/>
      <c r="AO145" s="495"/>
      <c r="AP145" s="495"/>
      <c r="AQ145" s="495"/>
      <c r="AR145" s="495"/>
      <c r="AS145" s="495"/>
      <c r="AT145" s="495"/>
      <c r="AU145" s="495"/>
      <c r="AV145" s="495"/>
      <c r="AW145" s="495"/>
      <c r="AX145" s="495"/>
      <c r="AY145" s="495"/>
      <c r="AZ145" s="495"/>
      <c r="BA145" s="495"/>
      <c r="BB145" s="495"/>
      <c r="BC145" s="495"/>
      <c r="BD145" s="495"/>
      <c r="BE145" s="495"/>
      <c r="BF145" s="495"/>
      <c r="BG145" s="495"/>
      <c r="BH145" s="495"/>
      <c r="BI145" s="495"/>
      <c r="BJ145" s="495"/>
      <c r="BK145" s="495"/>
      <c r="BL145" s="495"/>
    </row>
    <row r="146" spans="1:64" ht="12">
      <c r="A146" s="495"/>
      <c r="B146" s="495"/>
      <c r="C146" s="495"/>
      <c r="D146" s="495"/>
      <c r="E146" s="495"/>
      <c r="F146" s="495"/>
      <c r="G146" s="495"/>
      <c r="H146" s="495"/>
      <c r="I146" s="495"/>
      <c r="J146" s="495"/>
      <c r="K146" s="495"/>
      <c r="L146" s="495"/>
      <c r="M146" s="495"/>
      <c r="N146" s="495"/>
      <c r="O146" s="495"/>
      <c r="P146" s="495"/>
      <c r="Q146" s="495"/>
      <c r="R146" s="495"/>
      <c r="S146" s="495"/>
      <c r="T146" s="495"/>
      <c r="U146" s="495"/>
      <c r="V146" s="495"/>
      <c r="W146" s="495"/>
      <c r="X146" s="495"/>
      <c r="Y146" s="495"/>
      <c r="Z146" s="495"/>
      <c r="AA146" s="495"/>
      <c r="AB146" s="495"/>
      <c r="AC146" s="495"/>
      <c r="AD146" s="495"/>
      <c r="AE146" s="495"/>
      <c r="AF146" s="495"/>
      <c r="AG146" s="495"/>
      <c r="AH146" s="495"/>
      <c r="AI146" s="495"/>
      <c r="AJ146" s="495"/>
      <c r="AK146" s="495"/>
      <c r="AL146" s="495"/>
      <c r="AM146" s="495"/>
      <c r="AN146" s="495"/>
      <c r="AO146" s="495"/>
      <c r="AP146" s="495"/>
      <c r="AQ146" s="495"/>
      <c r="AR146" s="495"/>
      <c r="AS146" s="495"/>
      <c r="AT146" s="495"/>
      <c r="AU146" s="495"/>
      <c r="AV146" s="495"/>
      <c r="AW146" s="495"/>
      <c r="AX146" s="495"/>
      <c r="AY146" s="495"/>
      <c r="AZ146" s="495"/>
      <c r="BA146" s="495"/>
      <c r="BB146" s="495"/>
      <c r="BC146" s="495"/>
      <c r="BD146" s="495"/>
      <c r="BE146" s="495"/>
      <c r="BF146" s="495"/>
      <c r="BG146" s="495"/>
      <c r="BH146" s="495"/>
      <c r="BI146" s="495"/>
      <c r="BJ146" s="495"/>
      <c r="BK146" s="495"/>
      <c r="BL146" s="495"/>
    </row>
    <row r="147" spans="1:64" ht="12">
      <c r="A147" s="495"/>
      <c r="B147" s="495"/>
      <c r="C147" s="495"/>
      <c r="D147" s="495"/>
      <c r="E147" s="495"/>
      <c r="F147" s="495"/>
      <c r="G147" s="495"/>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5"/>
      <c r="AY147" s="495"/>
      <c r="AZ147" s="495"/>
      <c r="BA147" s="495"/>
      <c r="BB147" s="495"/>
      <c r="BC147" s="495"/>
      <c r="BD147" s="495"/>
      <c r="BE147" s="495"/>
      <c r="BF147" s="495"/>
      <c r="BG147" s="495"/>
      <c r="BH147" s="495"/>
      <c r="BI147" s="495"/>
      <c r="BJ147" s="495"/>
      <c r="BK147" s="495"/>
      <c r="BL147" s="495"/>
    </row>
    <row r="148" spans="1:64" ht="12">
      <c r="A148" s="495"/>
      <c r="B148" s="495"/>
      <c r="C148" s="495"/>
      <c r="D148" s="495"/>
      <c r="E148" s="495"/>
      <c r="F148" s="495"/>
      <c r="G148" s="495"/>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5"/>
      <c r="AG148" s="495"/>
      <c r="AH148" s="495"/>
      <c r="AI148" s="495"/>
      <c r="AJ148" s="495"/>
      <c r="AK148" s="495"/>
      <c r="AL148" s="495"/>
      <c r="AM148" s="495"/>
      <c r="AN148" s="495"/>
      <c r="AO148" s="495"/>
      <c r="AP148" s="495"/>
      <c r="AQ148" s="495"/>
      <c r="AR148" s="495"/>
      <c r="AS148" s="495"/>
      <c r="AT148" s="495"/>
      <c r="AU148" s="495"/>
      <c r="AV148" s="495"/>
      <c r="AW148" s="495"/>
      <c r="AX148" s="495"/>
      <c r="AY148" s="495"/>
      <c r="AZ148" s="495"/>
      <c r="BA148" s="495"/>
      <c r="BB148" s="495"/>
      <c r="BC148" s="495"/>
      <c r="BD148" s="495"/>
      <c r="BE148" s="495"/>
      <c r="BF148" s="495"/>
      <c r="BG148" s="495"/>
      <c r="BH148" s="495"/>
      <c r="BI148" s="495"/>
      <c r="BJ148" s="495"/>
      <c r="BK148" s="495"/>
      <c r="BL148" s="495"/>
    </row>
    <row r="149" spans="1:64" ht="12">
      <c r="A149" s="495"/>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495"/>
      <c r="AY149" s="495"/>
      <c r="AZ149" s="495"/>
      <c r="BA149" s="495"/>
      <c r="BB149" s="495"/>
      <c r="BC149" s="495"/>
      <c r="BD149" s="495"/>
      <c r="BE149" s="495"/>
      <c r="BF149" s="495"/>
      <c r="BG149" s="495"/>
      <c r="BH149" s="495"/>
      <c r="BI149" s="495"/>
      <c r="BJ149" s="495"/>
      <c r="BK149" s="495"/>
      <c r="BL149" s="495"/>
    </row>
    <row r="150" spans="1:64" ht="12">
      <c r="A150" s="495"/>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5"/>
      <c r="AL150" s="495"/>
      <c r="AM150" s="495"/>
      <c r="AN150" s="495"/>
      <c r="AO150" s="495"/>
      <c r="AP150" s="495"/>
      <c r="AQ150" s="495"/>
      <c r="AR150" s="495"/>
      <c r="AS150" s="495"/>
      <c r="AT150" s="495"/>
      <c r="AU150" s="495"/>
      <c r="AV150" s="495"/>
      <c r="AW150" s="495"/>
      <c r="AX150" s="495"/>
      <c r="AY150" s="495"/>
      <c r="AZ150" s="495"/>
      <c r="BA150" s="495"/>
      <c r="BB150" s="495"/>
      <c r="BC150" s="495"/>
      <c r="BD150" s="495"/>
      <c r="BE150" s="495"/>
      <c r="BF150" s="495"/>
      <c r="BG150" s="495"/>
      <c r="BH150" s="495"/>
      <c r="BI150" s="495"/>
      <c r="BJ150" s="495"/>
      <c r="BK150" s="495"/>
      <c r="BL150" s="495"/>
    </row>
    <row r="151" spans="1:64" ht="12">
      <c r="A151" s="495"/>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5"/>
      <c r="AU151" s="495"/>
      <c r="AV151" s="495"/>
      <c r="AW151" s="495"/>
      <c r="AX151" s="495"/>
      <c r="AY151" s="495"/>
      <c r="AZ151" s="495"/>
      <c r="BA151" s="495"/>
      <c r="BB151" s="495"/>
      <c r="BC151" s="495"/>
      <c r="BD151" s="495"/>
      <c r="BE151" s="495"/>
      <c r="BF151" s="495"/>
      <c r="BG151" s="495"/>
      <c r="BH151" s="495"/>
      <c r="BI151" s="495"/>
      <c r="BJ151" s="495"/>
      <c r="BK151" s="495"/>
      <c r="BL151" s="495"/>
    </row>
    <row r="152" spans="1:64" ht="12">
      <c r="A152" s="495"/>
      <c r="B152" s="495"/>
      <c r="C152" s="495"/>
      <c r="D152" s="495"/>
      <c r="E152" s="495"/>
      <c r="F152" s="495"/>
      <c r="G152" s="495"/>
      <c r="H152" s="495"/>
      <c r="I152" s="495"/>
      <c r="J152" s="495"/>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5"/>
      <c r="AJ152" s="495"/>
      <c r="AK152" s="495"/>
      <c r="AL152" s="495"/>
      <c r="AM152" s="495"/>
      <c r="AN152" s="495"/>
      <c r="AO152" s="495"/>
      <c r="AP152" s="495"/>
      <c r="AQ152" s="495"/>
      <c r="AR152" s="495"/>
      <c r="AS152" s="495"/>
      <c r="AT152" s="495"/>
      <c r="AU152" s="495"/>
      <c r="AV152" s="495"/>
      <c r="AW152" s="495"/>
      <c r="AX152" s="495"/>
      <c r="AY152" s="495"/>
      <c r="AZ152" s="495"/>
      <c r="BA152" s="495"/>
      <c r="BB152" s="495"/>
      <c r="BC152" s="495"/>
      <c r="BD152" s="495"/>
      <c r="BE152" s="495"/>
      <c r="BF152" s="495"/>
      <c r="BG152" s="495"/>
      <c r="BH152" s="495"/>
      <c r="BI152" s="495"/>
      <c r="BJ152" s="495"/>
      <c r="BK152" s="495"/>
      <c r="BL152" s="495"/>
    </row>
    <row r="153" spans="1:64" ht="12">
      <c r="A153" s="495"/>
      <c r="B153" s="495"/>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5"/>
      <c r="BD153" s="495"/>
      <c r="BE153" s="495"/>
      <c r="BF153" s="495"/>
      <c r="BG153" s="495"/>
      <c r="BH153" s="495"/>
      <c r="BI153" s="495"/>
      <c r="BJ153" s="495"/>
      <c r="BK153" s="495"/>
      <c r="BL153" s="495"/>
    </row>
    <row r="154" spans="1:64" ht="12">
      <c r="A154" s="495"/>
      <c r="B154" s="495"/>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5"/>
      <c r="AY154" s="495"/>
      <c r="AZ154" s="495"/>
      <c r="BA154" s="495"/>
      <c r="BB154" s="495"/>
      <c r="BC154" s="495"/>
      <c r="BD154" s="495"/>
      <c r="BE154" s="495"/>
      <c r="BF154" s="495"/>
      <c r="BG154" s="495"/>
      <c r="BH154" s="495"/>
      <c r="BI154" s="495"/>
      <c r="BJ154" s="495"/>
      <c r="BK154" s="495"/>
      <c r="BL154" s="495"/>
    </row>
    <row r="155" spans="1:64" ht="12">
      <c r="A155" s="495"/>
      <c r="B155" s="495"/>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5"/>
      <c r="AL155" s="495"/>
      <c r="AM155" s="495"/>
      <c r="AN155" s="495"/>
      <c r="AO155" s="495"/>
      <c r="AP155" s="495"/>
      <c r="AQ155" s="495"/>
      <c r="AR155" s="495"/>
      <c r="AS155" s="495"/>
      <c r="AT155" s="495"/>
      <c r="AU155" s="495"/>
      <c r="AV155" s="495"/>
      <c r="AW155" s="495"/>
      <c r="AX155" s="495"/>
      <c r="AY155" s="495"/>
      <c r="AZ155" s="495"/>
      <c r="BA155" s="495"/>
      <c r="BB155" s="495"/>
      <c r="BC155" s="495"/>
      <c r="BD155" s="495"/>
      <c r="BE155" s="495"/>
      <c r="BF155" s="495"/>
      <c r="BG155" s="495"/>
      <c r="BH155" s="495"/>
      <c r="BI155" s="495"/>
      <c r="BJ155" s="495"/>
      <c r="BK155" s="495"/>
      <c r="BL155" s="495"/>
    </row>
    <row r="156" spans="1:64" ht="12">
      <c r="A156" s="495"/>
      <c r="B156" s="495"/>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5"/>
      <c r="AP156" s="495"/>
      <c r="AQ156" s="495"/>
      <c r="AR156" s="495"/>
      <c r="AS156" s="495"/>
      <c r="AT156" s="495"/>
      <c r="AU156" s="495"/>
      <c r="AV156" s="495"/>
      <c r="AW156" s="495"/>
      <c r="AX156" s="495"/>
      <c r="AY156" s="495"/>
      <c r="AZ156" s="495"/>
      <c r="BA156" s="495"/>
      <c r="BB156" s="495"/>
      <c r="BC156" s="495"/>
      <c r="BD156" s="495"/>
      <c r="BE156" s="495"/>
      <c r="BF156" s="495"/>
      <c r="BG156" s="495"/>
      <c r="BH156" s="495"/>
      <c r="BI156" s="495"/>
      <c r="BJ156" s="495"/>
      <c r="BK156" s="495"/>
      <c r="BL156" s="495"/>
    </row>
    <row r="157" spans="1:64" ht="12">
      <c r="A157" s="495"/>
      <c r="B157" s="495"/>
      <c r="C157" s="495"/>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495"/>
      <c r="AK157" s="495"/>
      <c r="AL157" s="495"/>
      <c r="AM157" s="495"/>
      <c r="AN157" s="495"/>
      <c r="AO157" s="495"/>
      <c r="AP157" s="495"/>
      <c r="AQ157" s="495"/>
      <c r="AR157" s="495"/>
      <c r="AS157" s="495"/>
      <c r="AT157" s="495"/>
      <c r="AU157" s="495"/>
      <c r="AV157" s="495"/>
      <c r="AW157" s="495"/>
      <c r="AX157" s="495"/>
      <c r="AY157" s="495"/>
      <c r="AZ157" s="495"/>
      <c r="BA157" s="495"/>
      <c r="BB157" s="495"/>
      <c r="BC157" s="495"/>
      <c r="BD157" s="495"/>
      <c r="BE157" s="495"/>
      <c r="BF157" s="495"/>
      <c r="BG157" s="495"/>
      <c r="BH157" s="495"/>
      <c r="BI157" s="495"/>
      <c r="BJ157" s="495"/>
      <c r="BK157" s="495"/>
      <c r="BL157" s="495"/>
    </row>
    <row r="158" spans="1:64" ht="12">
      <c r="A158" s="495"/>
      <c r="B158" s="495"/>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5"/>
      <c r="AL158" s="495"/>
      <c r="AM158" s="495"/>
      <c r="AN158" s="495"/>
      <c r="AO158" s="495"/>
      <c r="AP158" s="495"/>
      <c r="AQ158" s="495"/>
      <c r="AR158" s="495"/>
      <c r="AS158" s="495"/>
      <c r="AT158" s="495"/>
      <c r="AU158" s="495"/>
      <c r="AV158" s="495"/>
      <c r="AW158" s="495"/>
      <c r="AX158" s="495"/>
      <c r="AY158" s="495"/>
      <c r="AZ158" s="495"/>
      <c r="BA158" s="495"/>
      <c r="BB158" s="495"/>
      <c r="BC158" s="495"/>
      <c r="BD158" s="495"/>
      <c r="BE158" s="495"/>
      <c r="BF158" s="495"/>
      <c r="BG158" s="495"/>
      <c r="BH158" s="495"/>
      <c r="BI158" s="495"/>
      <c r="BJ158" s="495"/>
      <c r="BK158" s="495"/>
      <c r="BL158" s="495"/>
    </row>
    <row r="159" spans="1:64" ht="12">
      <c r="A159" s="495"/>
      <c r="B159" s="495"/>
      <c r="C159" s="495"/>
      <c r="D159" s="495"/>
      <c r="E159" s="495"/>
      <c r="F159" s="495"/>
      <c r="G159" s="495"/>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5"/>
      <c r="AL159" s="495"/>
      <c r="AM159" s="495"/>
      <c r="AN159" s="495"/>
      <c r="AO159" s="495"/>
      <c r="AP159" s="495"/>
      <c r="AQ159" s="495"/>
      <c r="AR159" s="495"/>
      <c r="AS159" s="495"/>
      <c r="AT159" s="495"/>
      <c r="AU159" s="495"/>
      <c r="AV159" s="495"/>
      <c r="AW159" s="495"/>
      <c r="AX159" s="495"/>
      <c r="AY159" s="495"/>
      <c r="AZ159" s="495"/>
      <c r="BA159" s="495"/>
      <c r="BB159" s="495"/>
      <c r="BC159" s="495"/>
      <c r="BD159" s="495"/>
      <c r="BE159" s="495"/>
      <c r="BF159" s="495"/>
      <c r="BG159" s="495"/>
      <c r="BH159" s="495"/>
      <c r="BI159" s="495"/>
      <c r="BJ159" s="495"/>
      <c r="BK159" s="495"/>
      <c r="BL159" s="495"/>
    </row>
    <row r="160" spans="1:64" ht="12">
      <c r="A160" s="495"/>
      <c r="B160" s="495"/>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c r="AP160" s="495"/>
      <c r="AQ160" s="495"/>
      <c r="AR160" s="495"/>
      <c r="AS160" s="495"/>
      <c r="AT160" s="495"/>
      <c r="AU160" s="495"/>
      <c r="AV160" s="495"/>
      <c r="AW160" s="495"/>
      <c r="AX160" s="495"/>
      <c r="AY160" s="495"/>
      <c r="AZ160" s="495"/>
      <c r="BA160" s="495"/>
      <c r="BB160" s="495"/>
      <c r="BC160" s="495"/>
      <c r="BD160" s="495"/>
      <c r="BE160" s="495"/>
      <c r="BF160" s="495"/>
      <c r="BG160" s="495"/>
      <c r="BH160" s="495"/>
      <c r="BI160" s="495"/>
      <c r="BJ160" s="495"/>
      <c r="BK160" s="495"/>
      <c r="BL160" s="495"/>
    </row>
    <row r="161" spans="1:64" ht="12">
      <c r="A161" s="495"/>
      <c r="B161" s="495"/>
      <c r="C161" s="495"/>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5"/>
      <c r="AY161" s="495"/>
      <c r="AZ161" s="495"/>
      <c r="BA161" s="495"/>
      <c r="BB161" s="495"/>
      <c r="BC161" s="495"/>
      <c r="BD161" s="495"/>
      <c r="BE161" s="495"/>
      <c r="BF161" s="495"/>
      <c r="BG161" s="495"/>
      <c r="BH161" s="495"/>
      <c r="BI161" s="495"/>
      <c r="BJ161" s="495"/>
      <c r="BK161" s="495"/>
      <c r="BL161" s="495"/>
    </row>
    <row r="162" spans="1:64" ht="12">
      <c r="A162" s="495"/>
      <c r="B162" s="495"/>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5"/>
      <c r="AU162" s="495"/>
      <c r="AV162" s="495"/>
      <c r="AW162" s="495"/>
      <c r="AX162" s="495"/>
      <c r="AY162" s="495"/>
      <c r="AZ162" s="495"/>
      <c r="BA162" s="495"/>
      <c r="BB162" s="495"/>
      <c r="BC162" s="495"/>
      <c r="BD162" s="495"/>
      <c r="BE162" s="495"/>
      <c r="BF162" s="495"/>
      <c r="BG162" s="495"/>
      <c r="BH162" s="495"/>
      <c r="BI162" s="495"/>
      <c r="BJ162" s="495"/>
      <c r="BK162" s="495"/>
      <c r="BL162" s="495"/>
    </row>
    <row r="163" spans="1:64" ht="12">
      <c r="A163" s="495"/>
      <c r="B163" s="495"/>
      <c r="C163" s="495"/>
      <c r="D163" s="495"/>
      <c r="E163" s="495"/>
      <c r="F163" s="495"/>
      <c r="G163" s="495"/>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495"/>
      <c r="AM163" s="495"/>
      <c r="AN163" s="495"/>
      <c r="AO163" s="495"/>
      <c r="AP163" s="495"/>
      <c r="AQ163" s="495"/>
      <c r="AR163" s="495"/>
      <c r="AS163" s="495"/>
      <c r="AT163" s="495"/>
      <c r="AU163" s="495"/>
      <c r="AV163" s="495"/>
      <c r="AW163" s="495"/>
      <c r="AX163" s="495"/>
      <c r="AY163" s="495"/>
      <c r="AZ163" s="495"/>
      <c r="BA163" s="495"/>
      <c r="BB163" s="495"/>
      <c r="BC163" s="495"/>
      <c r="BD163" s="495"/>
      <c r="BE163" s="495"/>
      <c r="BF163" s="495"/>
      <c r="BG163" s="495"/>
      <c r="BH163" s="495"/>
      <c r="BI163" s="495"/>
      <c r="BJ163" s="495"/>
      <c r="BK163" s="495"/>
      <c r="BL163" s="495"/>
    </row>
    <row r="164" spans="1:64" ht="12">
      <c r="A164" s="495"/>
      <c r="B164" s="495"/>
      <c r="C164" s="495"/>
      <c r="D164" s="495"/>
      <c r="E164" s="495"/>
      <c r="F164" s="495"/>
      <c r="G164" s="495"/>
      <c r="H164" s="495"/>
      <c r="I164" s="495"/>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5"/>
      <c r="AL164" s="495"/>
      <c r="AM164" s="495"/>
      <c r="AN164" s="495"/>
      <c r="AO164" s="495"/>
      <c r="AP164" s="495"/>
      <c r="AQ164" s="495"/>
      <c r="AR164" s="495"/>
      <c r="AS164" s="495"/>
      <c r="AT164" s="495"/>
      <c r="AU164" s="495"/>
      <c r="AV164" s="495"/>
      <c r="AW164" s="495"/>
      <c r="AX164" s="495"/>
      <c r="AY164" s="495"/>
      <c r="AZ164" s="495"/>
      <c r="BA164" s="495"/>
      <c r="BB164" s="495"/>
      <c r="BC164" s="495"/>
      <c r="BD164" s="495"/>
      <c r="BE164" s="495"/>
      <c r="BF164" s="495"/>
      <c r="BG164" s="495"/>
      <c r="BH164" s="495"/>
      <c r="BI164" s="495"/>
      <c r="BJ164" s="495"/>
      <c r="BK164" s="495"/>
      <c r="BL164" s="495"/>
    </row>
    <row r="165" spans="1:64" ht="12">
      <c r="A165" s="495"/>
      <c r="B165" s="495"/>
      <c r="C165" s="495"/>
      <c r="D165" s="495"/>
      <c r="E165" s="495"/>
      <c r="F165" s="495"/>
      <c r="G165" s="495"/>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5"/>
      <c r="AL165" s="495"/>
      <c r="AM165" s="495"/>
      <c r="AN165" s="495"/>
      <c r="AO165" s="495"/>
      <c r="AP165" s="495"/>
      <c r="AQ165" s="495"/>
      <c r="AR165" s="495"/>
      <c r="AS165" s="495"/>
      <c r="AT165" s="495"/>
      <c r="AU165" s="495"/>
      <c r="AV165" s="495"/>
      <c r="AW165" s="495"/>
      <c r="AX165" s="495"/>
      <c r="AY165" s="495"/>
      <c r="AZ165" s="495"/>
      <c r="BA165" s="495"/>
      <c r="BB165" s="495"/>
      <c r="BC165" s="495"/>
      <c r="BD165" s="495"/>
      <c r="BE165" s="495"/>
      <c r="BF165" s="495"/>
      <c r="BG165" s="495"/>
      <c r="BH165" s="495"/>
      <c r="BI165" s="495"/>
      <c r="BJ165" s="495"/>
      <c r="BK165" s="495"/>
      <c r="BL165" s="495"/>
    </row>
    <row r="166" spans="1:64" ht="12">
      <c r="A166" s="495"/>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5"/>
      <c r="AL166" s="495"/>
      <c r="AM166" s="495"/>
      <c r="AN166" s="495"/>
      <c r="AO166" s="495"/>
      <c r="AP166" s="495"/>
      <c r="AQ166" s="495"/>
      <c r="AR166" s="495"/>
      <c r="AS166" s="495"/>
      <c r="AT166" s="495"/>
      <c r="AU166" s="495"/>
      <c r="AV166" s="495"/>
      <c r="AW166" s="495"/>
      <c r="AX166" s="495"/>
      <c r="AY166" s="495"/>
      <c r="AZ166" s="495"/>
      <c r="BA166" s="495"/>
      <c r="BB166" s="495"/>
      <c r="BC166" s="495"/>
      <c r="BD166" s="495"/>
      <c r="BE166" s="495"/>
      <c r="BF166" s="495"/>
      <c r="BG166" s="495"/>
      <c r="BH166" s="495"/>
      <c r="BI166" s="495"/>
      <c r="BJ166" s="495"/>
      <c r="BK166" s="495"/>
      <c r="BL166" s="495"/>
    </row>
    <row r="167" spans="1:64" ht="12">
      <c r="A167" s="495"/>
      <c r="B167" s="495"/>
      <c r="C167" s="495"/>
      <c r="D167" s="495"/>
      <c r="E167" s="495"/>
      <c r="F167" s="495"/>
      <c r="G167" s="495"/>
      <c r="H167" s="495"/>
      <c r="I167" s="495"/>
      <c r="J167" s="495"/>
      <c r="K167" s="495"/>
      <c r="L167" s="495"/>
      <c r="M167" s="495"/>
      <c r="N167" s="495"/>
      <c r="O167" s="495"/>
      <c r="P167" s="495"/>
      <c r="Q167" s="495"/>
      <c r="R167" s="495"/>
      <c r="S167" s="495"/>
      <c r="T167" s="495"/>
      <c r="U167" s="495"/>
      <c r="V167" s="495"/>
      <c r="W167" s="495"/>
      <c r="X167" s="495"/>
      <c r="Y167" s="495"/>
      <c r="Z167" s="495"/>
      <c r="AA167" s="495"/>
      <c r="AB167" s="495"/>
      <c r="AC167" s="495"/>
      <c r="AD167" s="495"/>
      <c r="AE167" s="495"/>
      <c r="AF167" s="495"/>
      <c r="AG167" s="495"/>
      <c r="AH167" s="495"/>
      <c r="AI167" s="495"/>
      <c r="AJ167" s="495"/>
      <c r="AK167" s="495"/>
      <c r="AL167" s="495"/>
      <c r="AM167" s="495"/>
      <c r="AN167" s="495"/>
      <c r="AO167" s="495"/>
      <c r="AP167" s="495"/>
      <c r="AQ167" s="495"/>
      <c r="AR167" s="495"/>
      <c r="AS167" s="495"/>
      <c r="AT167" s="495"/>
      <c r="AU167" s="495"/>
      <c r="AV167" s="495"/>
      <c r="AW167" s="495"/>
      <c r="AX167" s="495"/>
      <c r="AY167" s="495"/>
      <c r="AZ167" s="495"/>
      <c r="BA167" s="495"/>
      <c r="BB167" s="495"/>
      <c r="BC167" s="495"/>
      <c r="BD167" s="495"/>
      <c r="BE167" s="495"/>
      <c r="BF167" s="495"/>
      <c r="BG167" s="495"/>
      <c r="BH167" s="495"/>
      <c r="BI167" s="495"/>
      <c r="BJ167" s="495"/>
      <c r="BK167" s="495"/>
      <c r="BL167" s="495"/>
    </row>
    <row r="168" spans="1:64" ht="12">
      <c r="A168" s="495"/>
      <c r="B168" s="495"/>
      <c r="C168" s="495"/>
      <c r="D168" s="495"/>
      <c r="E168" s="495"/>
      <c r="F168" s="495"/>
      <c r="G168" s="495"/>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row>
    <row r="169" spans="1:64" ht="12">
      <c r="A169" s="495"/>
      <c r="B169" s="495"/>
      <c r="C169" s="495"/>
      <c r="D169" s="495"/>
      <c r="E169" s="495"/>
      <c r="F169" s="495"/>
      <c r="G169" s="495"/>
      <c r="H169" s="495"/>
      <c r="I169" s="495"/>
      <c r="J169" s="495"/>
      <c r="K169" s="495"/>
      <c r="L169" s="495"/>
      <c r="M169" s="495"/>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5"/>
      <c r="AK169" s="495"/>
      <c r="AL169" s="495"/>
      <c r="AM169" s="495"/>
      <c r="AN169" s="495"/>
      <c r="AO169" s="495"/>
      <c r="AP169" s="495"/>
      <c r="AQ169" s="495"/>
      <c r="AR169" s="495"/>
      <c r="AS169" s="495"/>
      <c r="AT169" s="495"/>
      <c r="AU169" s="495"/>
      <c r="AV169" s="495"/>
      <c r="AW169" s="495"/>
      <c r="AX169" s="495"/>
      <c r="AY169" s="495"/>
      <c r="AZ169" s="495"/>
      <c r="BA169" s="495"/>
      <c r="BB169" s="495"/>
      <c r="BC169" s="495"/>
      <c r="BD169" s="495"/>
      <c r="BE169" s="495"/>
      <c r="BF169" s="495"/>
      <c r="BG169" s="495"/>
      <c r="BH169" s="495"/>
      <c r="BI169" s="495"/>
      <c r="BJ169" s="495"/>
      <c r="BK169" s="495"/>
      <c r="BL169" s="495"/>
    </row>
    <row r="170" spans="1:64" ht="12">
      <c r="A170" s="495"/>
      <c r="B170" s="495"/>
      <c r="C170" s="495"/>
      <c r="D170" s="495"/>
      <c r="E170" s="495"/>
      <c r="F170" s="495"/>
      <c r="G170" s="495"/>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5"/>
      <c r="AM170" s="495"/>
      <c r="AN170" s="495"/>
      <c r="AO170" s="495"/>
      <c r="AP170" s="495"/>
      <c r="AQ170" s="495"/>
      <c r="AR170" s="495"/>
      <c r="AS170" s="495"/>
      <c r="AT170" s="495"/>
      <c r="AU170" s="495"/>
      <c r="AV170" s="495"/>
      <c r="AW170" s="495"/>
      <c r="AX170" s="495"/>
      <c r="AY170" s="495"/>
      <c r="AZ170" s="495"/>
      <c r="BA170" s="495"/>
      <c r="BB170" s="495"/>
      <c r="BC170" s="495"/>
      <c r="BD170" s="495"/>
      <c r="BE170" s="495"/>
      <c r="BF170" s="495"/>
      <c r="BG170" s="495"/>
      <c r="BH170" s="495"/>
      <c r="BI170" s="495"/>
      <c r="BJ170" s="495"/>
      <c r="BK170" s="495"/>
      <c r="BL170" s="495"/>
    </row>
    <row r="171" spans="1:64" ht="12">
      <c r="A171" s="495"/>
      <c r="B171" s="495"/>
      <c r="C171" s="495"/>
      <c r="D171" s="495"/>
      <c r="E171" s="495"/>
      <c r="F171" s="495"/>
      <c r="G171" s="495"/>
      <c r="H171" s="495"/>
      <c r="I171" s="495"/>
      <c r="J171" s="495"/>
      <c r="K171" s="495"/>
      <c r="L171" s="495"/>
      <c r="M171" s="495"/>
      <c r="N171" s="495"/>
      <c r="O171" s="495"/>
      <c r="P171" s="495"/>
      <c r="Q171" s="495"/>
      <c r="R171" s="495"/>
      <c r="S171" s="495"/>
      <c r="T171" s="495"/>
      <c r="U171" s="495"/>
      <c r="V171" s="495"/>
      <c r="W171" s="495"/>
      <c r="X171" s="495"/>
      <c r="Y171" s="495"/>
      <c r="Z171" s="495"/>
      <c r="AA171" s="495"/>
      <c r="AB171" s="495"/>
      <c r="AC171" s="495"/>
      <c r="AD171" s="495"/>
      <c r="AE171" s="495"/>
      <c r="AF171" s="495"/>
      <c r="AG171" s="495"/>
      <c r="AH171" s="495"/>
      <c r="AI171" s="495"/>
      <c r="AJ171" s="495"/>
      <c r="AK171" s="495"/>
      <c r="AL171" s="495"/>
      <c r="AM171" s="495"/>
      <c r="AN171" s="495"/>
      <c r="AO171" s="495"/>
      <c r="AP171" s="495"/>
      <c r="AQ171" s="495"/>
      <c r="AR171" s="495"/>
      <c r="AS171" s="495"/>
      <c r="AT171" s="495"/>
      <c r="AU171" s="495"/>
      <c r="AV171" s="495"/>
      <c r="AW171" s="495"/>
      <c r="AX171" s="495"/>
      <c r="AY171" s="495"/>
      <c r="AZ171" s="495"/>
      <c r="BA171" s="495"/>
      <c r="BB171" s="495"/>
      <c r="BC171" s="495"/>
      <c r="BD171" s="495"/>
      <c r="BE171" s="495"/>
      <c r="BF171" s="495"/>
      <c r="BG171" s="495"/>
      <c r="BH171" s="495"/>
      <c r="BI171" s="495"/>
      <c r="BJ171" s="495"/>
      <c r="BK171" s="495"/>
      <c r="BL171" s="495"/>
    </row>
    <row r="172" spans="1:64" ht="12">
      <c r="A172" s="495"/>
      <c r="B172" s="495"/>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5"/>
      <c r="AL172" s="495"/>
      <c r="AM172" s="495"/>
      <c r="AN172" s="495"/>
      <c r="AO172" s="495"/>
      <c r="AP172" s="495"/>
      <c r="AQ172" s="495"/>
      <c r="AR172" s="495"/>
      <c r="AS172" s="495"/>
      <c r="AT172" s="495"/>
      <c r="AU172" s="495"/>
      <c r="AV172" s="495"/>
      <c r="AW172" s="495"/>
      <c r="AX172" s="495"/>
      <c r="AY172" s="495"/>
      <c r="AZ172" s="495"/>
      <c r="BA172" s="495"/>
      <c r="BB172" s="495"/>
      <c r="BC172" s="495"/>
      <c r="BD172" s="495"/>
      <c r="BE172" s="495"/>
      <c r="BF172" s="495"/>
      <c r="BG172" s="495"/>
      <c r="BH172" s="495"/>
      <c r="BI172" s="495"/>
      <c r="BJ172" s="495"/>
      <c r="BK172" s="495"/>
      <c r="BL172" s="495"/>
    </row>
    <row r="173" spans="1:64" ht="12">
      <c r="A173" s="495"/>
      <c r="B173" s="495"/>
      <c r="C173" s="495"/>
      <c r="D173" s="495"/>
      <c r="E173" s="495"/>
      <c r="F173" s="495"/>
      <c r="G173" s="495"/>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c r="AP173" s="495"/>
      <c r="AQ173" s="495"/>
      <c r="AR173" s="495"/>
      <c r="AS173" s="495"/>
      <c r="AT173" s="495"/>
      <c r="AU173" s="495"/>
      <c r="AV173" s="495"/>
      <c r="AW173" s="495"/>
      <c r="AX173" s="495"/>
      <c r="AY173" s="495"/>
      <c r="AZ173" s="495"/>
      <c r="BA173" s="495"/>
      <c r="BB173" s="495"/>
      <c r="BC173" s="495"/>
      <c r="BD173" s="495"/>
      <c r="BE173" s="495"/>
      <c r="BF173" s="495"/>
      <c r="BG173" s="495"/>
      <c r="BH173" s="495"/>
      <c r="BI173" s="495"/>
      <c r="BJ173" s="495"/>
      <c r="BK173" s="495"/>
      <c r="BL173" s="495"/>
    </row>
    <row r="174" spans="1:64" ht="12">
      <c r="A174" s="495"/>
      <c r="B174" s="495"/>
      <c r="C174" s="495"/>
      <c r="D174" s="495"/>
      <c r="E174" s="495"/>
      <c r="F174" s="495"/>
      <c r="G174" s="495"/>
      <c r="H174" s="495"/>
      <c r="I174" s="495"/>
      <c r="J174" s="495"/>
      <c r="K174" s="495"/>
      <c r="L174" s="495"/>
      <c r="M174" s="495"/>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5"/>
      <c r="AY174" s="495"/>
      <c r="AZ174" s="495"/>
      <c r="BA174" s="495"/>
      <c r="BB174" s="495"/>
      <c r="BC174" s="495"/>
      <c r="BD174" s="495"/>
      <c r="BE174" s="495"/>
      <c r="BF174" s="495"/>
      <c r="BG174" s="495"/>
      <c r="BH174" s="495"/>
      <c r="BI174" s="495"/>
      <c r="BJ174" s="495"/>
      <c r="BK174" s="495"/>
      <c r="BL174" s="495"/>
    </row>
    <row r="175" spans="1:64" ht="12">
      <c r="A175" s="495"/>
      <c r="B175" s="495"/>
      <c r="C175" s="495"/>
      <c r="D175" s="495"/>
      <c r="E175" s="495"/>
      <c r="F175" s="495"/>
      <c r="G175" s="495"/>
      <c r="H175" s="495"/>
      <c r="I175" s="495"/>
      <c r="J175" s="495"/>
      <c r="K175" s="495"/>
      <c r="L175" s="495"/>
      <c r="M175" s="495"/>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5"/>
      <c r="AL175" s="495"/>
      <c r="AM175" s="495"/>
      <c r="AN175" s="495"/>
      <c r="AO175" s="495"/>
      <c r="AP175" s="495"/>
      <c r="AQ175" s="495"/>
      <c r="AR175" s="495"/>
      <c r="AS175" s="495"/>
      <c r="AT175" s="495"/>
      <c r="AU175" s="495"/>
      <c r="AV175" s="495"/>
      <c r="AW175" s="495"/>
      <c r="AX175" s="495"/>
      <c r="AY175" s="495"/>
      <c r="AZ175" s="495"/>
      <c r="BA175" s="495"/>
      <c r="BB175" s="495"/>
      <c r="BC175" s="495"/>
      <c r="BD175" s="495"/>
      <c r="BE175" s="495"/>
      <c r="BF175" s="495"/>
      <c r="BG175" s="495"/>
      <c r="BH175" s="495"/>
      <c r="BI175" s="495"/>
      <c r="BJ175" s="495"/>
      <c r="BK175" s="495"/>
      <c r="BL175" s="495"/>
    </row>
    <row r="176" spans="1:64" ht="12">
      <c r="A176" s="495"/>
      <c r="B176" s="495"/>
      <c r="C176" s="495"/>
      <c r="D176" s="495"/>
      <c r="E176" s="495"/>
      <c r="F176" s="495"/>
      <c r="G176" s="495"/>
      <c r="H176" s="495"/>
      <c r="I176" s="495"/>
      <c r="J176" s="495"/>
      <c r="K176" s="495"/>
      <c r="L176" s="495"/>
      <c r="M176" s="495"/>
      <c r="N176" s="495"/>
      <c r="O176" s="495"/>
      <c r="P176" s="495"/>
      <c r="Q176" s="495"/>
      <c r="R176" s="495"/>
      <c r="S176" s="495"/>
      <c r="T176" s="495"/>
      <c r="U176" s="495"/>
      <c r="V176" s="495"/>
      <c r="W176" s="495"/>
      <c r="X176" s="495"/>
      <c r="Y176" s="495"/>
      <c r="Z176" s="495"/>
      <c r="AA176" s="495"/>
      <c r="AB176" s="495"/>
      <c r="AC176" s="495"/>
      <c r="AD176" s="495"/>
      <c r="AE176" s="495"/>
      <c r="AF176" s="495"/>
      <c r="AG176" s="495"/>
      <c r="AH176" s="495"/>
      <c r="AI176" s="495"/>
      <c r="AJ176" s="495"/>
      <c r="AK176" s="495"/>
      <c r="AL176" s="495"/>
      <c r="AM176" s="495"/>
      <c r="AN176" s="495"/>
      <c r="AO176" s="495"/>
      <c r="AP176" s="495"/>
      <c r="AQ176" s="495"/>
      <c r="AR176" s="495"/>
      <c r="AS176" s="495"/>
      <c r="AT176" s="495"/>
      <c r="AU176" s="495"/>
      <c r="AV176" s="495"/>
      <c r="AW176" s="495"/>
      <c r="AX176" s="495"/>
      <c r="AY176" s="495"/>
      <c r="AZ176" s="495"/>
      <c r="BA176" s="495"/>
      <c r="BB176" s="495"/>
      <c r="BC176" s="495"/>
      <c r="BD176" s="495"/>
      <c r="BE176" s="495"/>
      <c r="BF176" s="495"/>
      <c r="BG176" s="495"/>
      <c r="BH176" s="495"/>
      <c r="BI176" s="495"/>
      <c r="BJ176" s="495"/>
      <c r="BK176" s="495"/>
      <c r="BL176" s="495"/>
    </row>
    <row r="177" spans="1:64" ht="12">
      <c r="A177" s="495"/>
      <c r="B177" s="495"/>
      <c r="C177" s="495"/>
      <c r="D177" s="495"/>
      <c r="E177" s="495"/>
      <c r="F177" s="495"/>
      <c r="G177" s="495"/>
      <c r="H177" s="495"/>
      <c r="I177" s="495"/>
      <c r="J177" s="495"/>
      <c r="K177" s="495"/>
      <c r="L177" s="495"/>
      <c r="M177" s="495"/>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5"/>
      <c r="AL177" s="495"/>
      <c r="AM177" s="495"/>
      <c r="AN177" s="495"/>
      <c r="AO177" s="495"/>
      <c r="AP177" s="495"/>
      <c r="AQ177" s="495"/>
      <c r="AR177" s="495"/>
      <c r="AS177" s="495"/>
      <c r="AT177" s="495"/>
      <c r="AU177" s="495"/>
      <c r="AV177" s="495"/>
      <c r="AW177" s="495"/>
      <c r="AX177" s="495"/>
      <c r="AY177" s="495"/>
      <c r="AZ177" s="495"/>
      <c r="BA177" s="495"/>
      <c r="BB177" s="495"/>
      <c r="BC177" s="495"/>
      <c r="BD177" s="495"/>
      <c r="BE177" s="495"/>
      <c r="BF177" s="495"/>
      <c r="BG177" s="495"/>
      <c r="BH177" s="495"/>
      <c r="BI177" s="495"/>
      <c r="BJ177" s="495"/>
      <c r="BK177" s="495"/>
      <c r="BL177" s="495"/>
    </row>
    <row r="178" spans="1:64" ht="12">
      <c r="A178" s="495"/>
      <c r="B178" s="495"/>
      <c r="C178" s="495"/>
      <c r="D178" s="495"/>
      <c r="E178" s="495"/>
      <c r="F178" s="495"/>
      <c r="G178" s="495"/>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5"/>
      <c r="AY178" s="495"/>
      <c r="AZ178" s="495"/>
      <c r="BA178" s="495"/>
      <c r="BB178" s="495"/>
      <c r="BC178" s="495"/>
      <c r="BD178" s="495"/>
      <c r="BE178" s="495"/>
      <c r="BF178" s="495"/>
      <c r="BG178" s="495"/>
      <c r="BH178" s="495"/>
      <c r="BI178" s="495"/>
      <c r="BJ178" s="495"/>
      <c r="BK178" s="495"/>
      <c r="BL178" s="495"/>
    </row>
    <row r="179" spans="1:64" ht="12">
      <c r="A179" s="495"/>
      <c r="B179" s="495"/>
      <c r="C179" s="495"/>
      <c r="D179" s="495"/>
      <c r="E179" s="495"/>
      <c r="F179" s="495"/>
      <c r="G179" s="495"/>
      <c r="H179" s="495"/>
      <c r="I179" s="495"/>
      <c r="J179" s="495"/>
      <c r="K179" s="495"/>
      <c r="L179" s="495"/>
      <c r="M179" s="495"/>
      <c r="N179" s="495"/>
      <c r="O179" s="495"/>
      <c r="P179" s="495"/>
      <c r="Q179" s="495"/>
      <c r="R179" s="495"/>
      <c r="S179" s="495"/>
      <c r="T179" s="495"/>
      <c r="U179" s="495"/>
      <c r="V179" s="495"/>
      <c r="W179" s="495"/>
      <c r="X179" s="495"/>
      <c r="Y179" s="495"/>
      <c r="Z179" s="495"/>
      <c r="AA179" s="495"/>
      <c r="AB179" s="495"/>
      <c r="AC179" s="495"/>
      <c r="AD179" s="495"/>
      <c r="AE179" s="495"/>
      <c r="AF179" s="495"/>
      <c r="AG179" s="495"/>
      <c r="AH179" s="495"/>
      <c r="AI179" s="495"/>
      <c r="AJ179" s="495"/>
      <c r="AK179" s="495"/>
      <c r="AL179" s="495"/>
      <c r="AM179" s="495"/>
      <c r="AN179" s="495"/>
      <c r="AO179" s="495"/>
      <c r="AP179" s="495"/>
      <c r="AQ179" s="495"/>
      <c r="AR179" s="495"/>
      <c r="AS179" s="495"/>
      <c r="AT179" s="495"/>
      <c r="AU179" s="495"/>
      <c r="AV179" s="495"/>
      <c r="AW179" s="495"/>
      <c r="AX179" s="495"/>
      <c r="AY179" s="495"/>
      <c r="AZ179" s="495"/>
      <c r="BA179" s="495"/>
      <c r="BB179" s="495"/>
      <c r="BC179" s="495"/>
      <c r="BD179" s="495"/>
      <c r="BE179" s="495"/>
      <c r="BF179" s="495"/>
      <c r="BG179" s="495"/>
      <c r="BH179" s="495"/>
      <c r="BI179" s="495"/>
      <c r="BJ179" s="495"/>
      <c r="BK179" s="495"/>
      <c r="BL179" s="495"/>
    </row>
    <row r="180" spans="1:64" ht="12">
      <c r="A180" s="495"/>
      <c r="B180" s="495"/>
      <c r="C180" s="495"/>
      <c r="D180" s="495"/>
      <c r="E180" s="495"/>
      <c r="F180" s="495"/>
      <c r="G180" s="495"/>
      <c r="H180" s="495"/>
      <c r="I180" s="495"/>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5"/>
      <c r="AJ180" s="495"/>
      <c r="AK180" s="495"/>
      <c r="AL180" s="495"/>
      <c r="AM180" s="495"/>
      <c r="AN180" s="495"/>
      <c r="AO180" s="495"/>
      <c r="AP180" s="495"/>
      <c r="AQ180" s="495"/>
      <c r="AR180" s="495"/>
      <c r="AS180" s="495"/>
      <c r="AT180" s="495"/>
      <c r="AU180" s="495"/>
      <c r="AV180" s="495"/>
      <c r="AW180" s="495"/>
      <c r="AX180" s="495"/>
      <c r="AY180" s="495"/>
      <c r="AZ180" s="495"/>
      <c r="BA180" s="495"/>
      <c r="BB180" s="495"/>
      <c r="BC180" s="495"/>
      <c r="BD180" s="495"/>
      <c r="BE180" s="495"/>
      <c r="BF180" s="495"/>
      <c r="BG180" s="495"/>
      <c r="BH180" s="495"/>
      <c r="BI180" s="495"/>
      <c r="BJ180" s="495"/>
      <c r="BK180" s="495"/>
      <c r="BL180" s="495"/>
    </row>
    <row r="181" spans="1:64" ht="12">
      <c r="A181" s="495"/>
      <c r="B181" s="495"/>
      <c r="C181" s="495"/>
      <c r="D181" s="495"/>
      <c r="E181" s="495"/>
      <c r="F181" s="495"/>
      <c r="G181" s="495"/>
      <c r="H181" s="495"/>
      <c r="I181" s="495"/>
      <c r="J181" s="495"/>
      <c r="K181" s="495"/>
      <c r="L181" s="495"/>
      <c r="M181" s="495"/>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5"/>
      <c r="AL181" s="495"/>
      <c r="AM181" s="495"/>
      <c r="AN181" s="495"/>
      <c r="AO181" s="495"/>
      <c r="AP181" s="495"/>
      <c r="AQ181" s="495"/>
      <c r="AR181" s="495"/>
      <c r="AS181" s="495"/>
      <c r="AT181" s="495"/>
      <c r="AU181" s="495"/>
      <c r="AV181" s="495"/>
      <c r="AW181" s="495"/>
      <c r="AX181" s="495"/>
      <c r="AY181" s="495"/>
      <c r="AZ181" s="495"/>
      <c r="BA181" s="495"/>
      <c r="BB181" s="495"/>
      <c r="BC181" s="495"/>
      <c r="BD181" s="495"/>
      <c r="BE181" s="495"/>
      <c r="BF181" s="495"/>
      <c r="BG181" s="495"/>
      <c r="BH181" s="495"/>
      <c r="BI181" s="495"/>
      <c r="BJ181" s="495"/>
      <c r="BK181" s="495"/>
      <c r="BL181" s="495"/>
    </row>
    <row r="182" spans="1:64" ht="12">
      <c r="A182" s="495"/>
      <c r="B182" s="495"/>
      <c r="C182" s="495"/>
      <c r="D182" s="495"/>
      <c r="E182" s="495"/>
      <c r="F182" s="495"/>
      <c r="G182" s="495"/>
      <c r="H182" s="495"/>
      <c r="I182" s="495"/>
      <c r="J182" s="495"/>
      <c r="K182" s="495"/>
      <c r="L182" s="495"/>
      <c r="M182" s="495"/>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5"/>
      <c r="AL182" s="495"/>
      <c r="AM182" s="495"/>
      <c r="AN182" s="495"/>
      <c r="AO182" s="495"/>
      <c r="AP182" s="495"/>
      <c r="AQ182" s="495"/>
      <c r="AR182" s="495"/>
      <c r="AS182" s="495"/>
      <c r="AT182" s="495"/>
      <c r="AU182" s="495"/>
      <c r="AV182" s="495"/>
      <c r="AW182" s="495"/>
      <c r="AX182" s="495"/>
      <c r="AY182" s="495"/>
      <c r="AZ182" s="495"/>
      <c r="BA182" s="495"/>
      <c r="BB182" s="495"/>
      <c r="BC182" s="495"/>
      <c r="BD182" s="495"/>
      <c r="BE182" s="495"/>
      <c r="BF182" s="495"/>
      <c r="BG182" s="495"/>
      <c r="BH182" s="495"/>
      <c r="BI182" s="495"/>
      <c r="BJ182" s="495"/>
      <c r="BK182" s="495"/>
      <c r="BL182" s="495"/>
    </row>
    <row r="183" spans="1:64" ht="12">
      <c r="A183" s="495"/>
      <c r="B183" s="495"/>
      <c r="C183" s="495"/>
      <c r="D183" s="495"/>
      <c r="E183" s="495"/>
      <c r="F183" s="495"/>
      <c r="G183" s="495"/>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c r="AP183" s="495"/>
      <c r="AQ183" s="495"/>
      <c r="AR183" s="495"/>
      <c r="AS183" s="495"/>
      <c r="AT183" s="495"/>
      <c r="AU183" s="495"/>
      <c r="AV183" s="495"/>
      <c r="AW183" s="495"/>
      <c r="AX183" s="495"/>
      <c r="AY183" s="495"/>
      <c r="AZ183" s="495"/>
      <c r="BA183" s="495"/>
      <c r="BB183" s="495"/>
      <c r="BC183" s="495"/>
      <c r="BD183" s="495"/>
      <c r="BE183" s="495"/>
      <c r="BF183" s="495"/>
      <c r="BG183" s="495"/>
      <c r="BH183" s="495"/>
      <c r="BI183" s="495"/>
      <c r="BJ183" s="495"/>
      <c r="BK183" s="495"/>
      <c r="BL183" s="495"/>
    </row>
    <row r="184" spans="1:64" ht="12">
      <c r="A184" s="495"/>
      <c r="B184" s="495"/>
      <c r="C184" s="495"/>
      <c r="D184" s="495"/>
      <c r="E184" s="495"/>
      <c r="F184" s="495"/>
      <c r="G184" s="495"/>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5"/>
      <c r="AU184" s="495"/>
      <c r="AV184" s="495"/>
      <c r="AW184" s="495"/>
      <c r="AX184" s="495"/>
      <c r="AY184" s="495"/>
      <c r="AZ184" s="495"/>
      <c r="BA184" s="495"/>
      <c r="BB184" s="495"/>
      <c r="BC184" s="495"/>
      <c r="BD184" s="495"/>
      <c r="BE184" s="495"/>
      <c r="BF184" s="495"/>
      <c r="BG184" s="495"/>
      <c r="BH184" s="495"/>
      <c r="BI184" s="495"/>
      <c r="BJ184" s="495"/>
      <c r="BK184" s="495"/>
      <c r="BL184" s="495"/>
    </row>
    <row r="185" spans="1:64" ht="12">
      <c r="A185" s="495"/>
      <c r="B185" s="495"/>
      <c r="C185" s="495"/>
      <c r="D185" s="495"/>
      <c r="E185" s="495"/>
      <c r="F185" s="495"/>
      <c r="G185" s="495"/>
      <c r="H185" s="495"/>
      <c r="I185" s="495"/>
      <c r="J185" s="495"/>
      <c r="K185" s="495"/>
      <c r="L185" s="495"/>
      <c r="M185" s="495"/>
      <c r="N185" s="495"/>
      <c r="O185" s="495"/>
      <c r="P185" s="495"/>
      <c r="Q185" s="495"/>
      <c r="R185" s="495"/>
      <c r="S185" s="495"/>
      <c r="T185" s="495"/>
      <c r="U185" s="495"/>
      <c r="V185" s="495"/>
      <c r="W185" s="495"/>
      <c r="X185" s="495"/>
      <c r="Y185" s="495"/>
      <c r="Z185" s="495"/>
      <c r="AA185" s="495"/>
      <c r="AB185" s="495"/>
      <c r="AC185" s="495"/>
      <c r="AD185" s="495"/>
      <c r="AE185" s="495"/>
      <c r="AF185" s="495"/>
      <c r="AG185" s="495"/>
      <c r="AH185" s="495"/>
      <c r="AI185" s="495"/>
      <c r="AJ185" s="495"/>
      <c r="AK185" s="495"/>
      <c r="AL185" s="495"/>
      <c r="AM185" s="495"/>
      <c r="AN185" s="495"/>
      <c r="AO185" s="495"/>
      <c r="AP185" s="495"/>
      <c r="AQ185" s="495"/>
      <c r="AR185" s="495"/>
      <c r="AS185" s="495"/>
      <c r="AT185" s="495"/>
      <c r="AU185" s="495"/>
      <c r="AV185" s="495"/>
      <c r="AW185" s="495"/>
      <c r="AX185" s="495"/>
      <c r="AY185" s="495"/>
      <c r="AZ185" s="495"/>
      <c r="BA185" s="495"/>
      <c r="BB185" s="495"/>
      <c r="BC185" s="495"/>
      <c r="BD185" s="495"/>
      <c r="BE185" s="495"/>
      <c r="BF185" s="495"/>
      <c r="BG185" s="495"/>
      <c r="BH185" s="495"/>
      <c r="BI185" s="495"/>
      <c r="BJ185" s="495"/>
      <c r="BK185" s="495"/>
      <c r="BL185" s="495"/>
    </row>
    <row r="186" spans="1:64" ht="12">
      <c r="A186" s="495"/>
      <c r="B186" s="495"/>
      <c r="C186" s="495"/>
      <c r="D186" s="495"/>
      <c r="E186" s="495"/>
      <c r="F186" s="495"/>
      <c r="G186" s="495"/>
      <c r="H186" s="495"/>
      <c r="I186" s="495"/>
      <c r="J186" s="495"/>
      <c r="K186" s="495"/>
      <c r="L186" s="495"/>
      <c r="M186" s="495"/>
      <c r="N186" s="495"/>
      <c r="O186" s="495"/>
      <c r="P186" s="495"/>
      <c r="Q186" s="495"/>
      <c r="R186" s="495"/>
      <c r="S186" s="495"/>
      <c r="T186" s="495"/>
      <c r="U186" s="495"/>
      <c r="V186" s="495"/>
      <c r="W186" s="495"/>
      <c r="X186" s="495"/>
      <c r="Y186" s="495"/>
      <c r="Z186" s="495"/>
      <c r="AA186" s="495"/>
      <c r="AB186" s="495"/>
      <c r="AC186" s="495"/>
      <c r="AD186" s="495"/>
      <c r="AE186" s="495"/>
      <c r="AF186" s="495"/>
      <c r="AG186" s="495"/>
      <c r="AH186" s="495"/>
      <c r="AI186" s="495"/>
      <c r="AJ186" s="495"/>
      <c r="AK186" s="495"/>
      <c r="AL186" s="495"/>
      <c r="AM186" s="495"/>
      <c r="AN186" s="495"/>
      <c r="AO186" s="495"/>
      <c r="AP186" s="495"/>
      <c r="AQ186" s="495"/>
      <c r="AR186" s="495"/>
      <c r="AS186" s="495"/>
      <c r="AT186" s="495"/>
      <c r="AU186" s="495"/>
      <c r="AV186" s="495"/>
      <c r="AW186" s="495"/>
      <c r="AX186" s="495"/>
      <c r="AY186" s="495"/>
      <c r="AZ186" s="495"/>
      <c r="BA186" s="495"/>
      <c r="BB186" s="495"/>
      <c r="BC186" s="495"/>
      <c r="BD186" s="495"/>
      <c r="BE186" s="495"/>
      <c r="BF186" s="495"/>
      <c r="BG186" s="495"/>
      <c r="BH186" s="495"/>
      <c r="BI186" s="495"/>
      <c r="BJ186" s="495"/>
      <c r="BK186" s="495"/>
      <c r="BL186" s="495"/>
    </row>
    <row r="187" spans="1:64" ht="12">
      <c r="A187" s="495"/>
      <c r="B187" s="495"/>
      <c r="C187" s="495"/>
      <c r="D187" s="495"/>
      <c r="E187" s="495"/>
      <c r="F187" s="495"/>
      <c r="G187" s="495"/>
      <c r="H187" s="495"/>
      <c r="I187" s="495"/>
      <c r="J187" s="495"/>
      <c r="K187" s="495"/>
      <c r="L187" s="495"/>
      <c r="M187" s="495"/>
      <c r="N187" s="495"/>
      <c r="O187" s="495"/>
      <c r="P187" s="495"/>
      <c r="Q187" s="495"/>
      <c r="R187" s="495"/>
      <c r="S187" s="495"/>
      <c r="T187" s="495"/>
      <c r="U187" s="495"/>
      <c r="V187" s="495"/>
      <c r="W187" s="495"/>
      <c r="X187" s="495"/>
      <c r="Y187" s="495"/>
      <c r="Z187" s="495"/>
      <c r="AA187" s="495"/>
      <c r="AB187" s="495"/>
      <c r="AC187" s="495"/>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5"/>
      <c r="AY187" s="495"/>
      <c r="AZ187" s="495"/>
      <c r="BA187" s="495"/>
      <c r="BB187" s="495"/>
      <c r="BC187" s="495"/>
      <c r="BD187" s="495"/>
      <c r="BE187" s="495"/>
      <c r="BF187" s="495"/>
      <c r="BG187" s="495"/>
      <c r="BH187" s="495"/>
      <c r="BI187" s="495"/>
      <c r="BJ187" s="495"/>
      <c r="BK187" s="495"/>
      <c r="BL187" s="495"/>
    </row>
    <row r="188" spans="1:64" ht="12">
      <c r="A188" s="495"/>
      <c r="B188" s="495"/>
      <c r="C188" s="495"/>
      <c r="D188" s="495"/>
      <c r="E188" s="495"/>
      <c r="F188" s="495"/>
      <c r="G188" s="495"/>
      <c r="H188" s="495"/>
      <c r="I188" s="495"/>
      <c r="J188" s="495"/>
      <c r="K188" s="495"/>
      <c r="L188" s="495"/>
      <c r="M188" s="495"/>
      <c r="N188" s="495"/>
      <c r="O188" s="495"/>
      <c r="P188" s="495"/>
      <c r="Q188" s="495"/>
      <c r="R188" s="495"/>
      <c r="S188" s="495"/>
      <c r="T188" s="495"/>
      <c r="U188" s="495"/>
      <c r="V188" s="495"/>
      <c r="W188" s="495"/>
      <c r="X188" s="495"/>
      <c r="Y188" s="495"/>
      <c r="Z188" s="495"/>
      <c r="AA188" s="495"/>
      <c r="AB188" s="495"/>
      <c r="AC188" s="495"/>
      <c r="AD188" s="495"/>
      <c r="AE188" s="495"/>
      <c r="AF188" s="495"/>
      <c r="AG188" s="495"/>
      <c r="AH188" s="495"/>
      <c r="AI188" s="495"/>
      <c r="AJ188" s="495"/>
      <c r="AK188" s="495"/>
      <c r="AL188" s="495"/>
      <c r="AM188" s="495"/>
      <c r="AN188" s="495"/>
      <c r="AO188" s="495"/>
      <c r="AP188" s="495"/>
      <c r="AQ188" s="495"/>
      <c r="AR188" s="495"/>
      <c r="AS188" s="495"/>
      <c r="AT188" s="495"/>
      <c r="AU188" s="495"/>
      <c r="AV188" s="495"/>
      <c r="AW188" s="495"/>
      <c r="AX188" s="495"/>
      <c r="AY188" s="495"/>
      <c r="AZ188" s="495"/>
      <c r="BA188" s="495"/>
      <c r="BB188" s="495"/>
      <c r="BC188" s="495"/>
      <c r="BD188" s="495"/>
      <c r="BE188" s="495"/>
      <c r="BF188" s="495"/>
      <c r="BG188" s="495"/>
      <c r="BH188" s="495"/>
      <c r="BI188" s="495"/>
      <c r="BJ188" s="495"/>
      <c r="BK188" s="495"/>
      <c r="BL188" s="495"/>
    </row>
    <row r="189" spans="1:64" ht="12">
      <c r="A189" s="495"/>
      <c r="B189" s="495"/>
      <c r="C189" s="495"/>
      <c r="D189" s="495"/>
      <c r="E189" s="495"/>
      <c r="F189" s="495"/>
      <c r="G189" s="495"/>
      <c r="H189" s="495"/>
      <c r="I189" s="495"/>
      <c r="J189" s="495"/>
      <c r="K189" s="495"/>
      <c r="L189" s="495"/>
      <c r="M189" s="495"/>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5"/>
      <c r="AL189" s="495"/>
      <c r="AM189" s="495"/>
      <c r="AN189" s="495"/>
      <c r="AO189" s="495"/>
      <c r="AP189" s="495"/>
      <c r="AQ189" s="495"/>
      <c r="AR189" s="495"/>
      <c r="AS189" s="495"/>
      <c r="AT189" s="495"/>
      <c r="AU189" s="495"/>
      <c r="AV189" s="495"/>
      <c r="AW189" s="495"/>
      <c r="AX189" s="495"/>
      <c r="AY189" s="495"/>
      <c r="AZ189" s="495"/>
      <c r="BA189" s="495"/>
      <c r="BB189" s="495"/>
      <c r="BC189" s="495"/>
      <c r="BD189" s="495"/>
      <c r="BE189" s="495"/>
      <c r="BF189" s="495"/>
      <c r="BG189" s="495"/>
      <c r="BH189" s="495"/>
      <c r="BI189" s="495"/>
      <c r="BJ189" s="495"/>
      <c r="BK189" s="495"/>
      <c r="BL189" s="495"/>
    </row>
    <row r="190" spans="1:64" ht="12">
      <c r="A190" s="495"/>
      <c r="B190" s="495"/>
      <c r="C190" s="495"/>
      <c r="D190" s="495"/>
      <c r="E190" s="495"/>
      <c r="F190" s="495"/>
      <c r="G190" s="495"/>
      <c r="H190" s="495"/>
      <c r="I190" s="495"/>
      <c r="J190" s="495"/>
      <c r="K190" s="495"/>
      <c r="L190" s="495"/>
      <c r="M190" s="495"/>
      <c r="N190" s="495"/>
      <c r="O190" s="495"/>
      <c r="P190" s="495"/>
      <c r="Q190" s="495"/>
      <c r="R190" s="495"/>
      <c r="S190" s="495"/>
      <c r="T190" s="495"/>
      <c r="U190" s="495"/>
      <c r="V190" s="495"/>
      <c r="W190" s="495"/>
      <c r="X190" s="495"/>
      <c r="Y190" s="495"/>
      <c r="Z190" s="495"/>
      <c r="AA190" s="495"/>
      <c r="AB190" s="495"/>
      <c r="AC190" s="495"/>
      <c r="AD190" s="495"/>
      <c r="AE190" s="495"/>
      <c r="AF190" s="495"/>
      <c r="AG190" s="495"/>
      <c r="AH190" s="495"/>
      <c r="AI190" s="495"/>
      <c r="AJ190" s="495"/>
      <c r="AK190" s="495"/>
      <c r="AL190" s="495"/>
      <c r="AM190" s="495"/>
      <c r="AN190" s="495"/>
      <c r="AO190" s="495"/>
      <c r="AP190" s="495"/>
      <c r="AQ190" s="495"/>
      <c r="AR190" s="495"/>
      <c r="AS190" s="495"/>
      <c r="AT190" s="495"/>
      <c r="AU190" s="495"/>
      <c r="AV190" s="495"/>
      <c r="AW190" s="495"/>
      <c r="AX190" s="495"/>
      <c r="AY190" s="495"/>
      <c r="AZ190" s="495"/>
      <c r="BA190" s="495"/>
      <c r="BB190" s="495"/>
      <c r="BC190" s="495"/>
      <c r="BD190" s="495"/>
      <c r="BE190" s="495"/>
      <c r="BF190" s="495"/>
      <c r="BG190" s="495"/>
      <c r="BH190" s="495"/>
      <c r="BI190" s="495"/>
      <c r="BJ190" s="495"/>
      <c r="BK190" s="495"/>
      <c r="BL190" s="495"/>
    </row>
    <row r="191" spans="1:64" ht="12">
      <c r="A191" s="495"/>
      <c r="B191" s="495"/>
      <c r="C191" s="495"/>
      <c r="D191" s="495"/>
      <c r="E191" s="495"/>
      <c r="F191" s="495"/>
      <c r="G191" s="495"/>
      <c r="H191" s="495"/>
      <c r="I191" s="495"/>
      <c r="J191" s="495"/>
      <c r="K191" s="495"/>
      <c r="L191" s="495"/>
      <c r="M191" s="495"/>
      <c r="N191" s="495"/>
      <c r="O191" s="495"/>
      <c r="P191" s="495"/>
      <c r="Q191" s="495"/>
      <c r="R191" s="495"/>
      <c r="S191" s="495"/>
      <c r="T191" s="495"/>
      <c r="U191" s="495"/>
      <c r="V191" s="495"/>
      <c r="W191" s="495"/>
      <c r="X191" s="495"/>
      <c r="Y191" s="495"/>
      <c r="Z191" s="495"/>
      <c r="AA191" s="495"/>
      <c r="AB191" s="495"/>
      <c r="AC191" s="495"/>
      <c r="AD191" s="495"/>
      <c r="AE191" s="495"/>
      <c r="AF191" s="495"/>
      <c r="AG191" s="495"/>
      <c r="AH191" s="495"/>
      <c r="AI191" s="495"/>
      <c r="AJ191" s="495"/>
      <c r="AK191" s="495"/>
      <c r="AL191" s="495"/>
      <c r="AM191" s="495"/>
      <c r="AN191" s="495"/>
      <c r="AO191" s="495"/>
      <c r="AP191" s="495"/>
      <c r="AQ191" s="495"/>
      <c r="AR191" s="495"/>
      <c r="AS191" s="495"/>
      <c r="AT191" s="495"/>
      <c r="AU191" s="495"/>
      <c r="AV191" s="495"/>
      <c r="AW191" s="495"/>
      <c r="AX191" s="495"/>
      <c r="AY191" s="495"/>
      <c r="AZ191" s="495"/>
      <c r="BA191" s="495"/>
      <c r="BB191" s="495"/>
      <c r="BC191" s="495"/>
      <c r="BD191" s="495"/>
      <c r="BE191" s="495"/>
      <c r="BF191" s="495"/>
      <c r="BG191" s="495"/>
      <c r="BH191" s="495"/>
      <c r="BI191" s="495"/>
      <c r="BJ191" s="495"/>
      <c r="BK191" s="495"/>
      <c r="BL191" s="495"/>
    </row>
    <row r="192" spans="1:64" ht="12">
      <c r="A192" s="495"/>
      <c r="B192" s="495"/>
      <c r="C192" s="495"/>
      <c r="D192" s="495"/>
      <c r="E192" s="495"/>
      <c r="F192" s="495"/>
      <c r="G192" s="495"/>
      <c r="H192" s="495"/>
      <c r="I192" s="495"/>
      <c r="J192" s="495"/>
      <c r="K192" s="495"/>
      <c r="L192" s="495"/>
      <c r="M192" s="495"/>
      <c r="N192" s="495"/>
      <c r="O192" s="495"/>
      <c r="P192" s="495"/>
      <c r="Q192" s="495"/>
      <c r="R192" s="495"/>
      <c r="S192" s="495"/>
      <c r="T192" s="495"/>
      <c r="U192" s="495"/>
      <c r="V192" s="495"/>
      <c r="W192" s="495"/>
      <c r="X192" s="495"/>
      <c r="Y192" s="495"/>
      <c r="Z192" s="495"/>
      <c r="AA192" s="495"/>
      <c r="AB192" s="495"/>
      <c r="AC192" s="495"/>
      <c r="AD192" s="495"/>
      <c r="AE192" s="495"/>
      <c r="AF192" s="495"/>
      <c r="AG192" s="495"/>
      <c r="AH192" s="495"/>
      <c r="AI192" s="495"/>
      <c r="AJ192" s="495"/>
      <c r="AK192" s="495"/>
      <c r="AL192" s="495"/>
      <c r="AM192" s="495"/>
      <c r="AN192" s="495"/>
      <c r="AO192" s="495"/>
      <c r="AP192" s="495"/>
      <c r="AQ192" s="495"/>
      <c r="AR192" s="495"/>
      <c r="AS192" s="495"/>
      <c r="AT192" s="495"/>
      <c r="AU192" s="495"/>
      <c r="AV192" s="495"/>
      <c r="AW192" s="495"/>
      <c r="AX192" s="495"/>
      <c r="AY192" s="495"/>
      <c r="AZ192" s="495"/>
      <c r="BA192" s="495"/>
      <c r="BB192" s="495"/>
      <c r="BC192" s="495"/>
      <c r="BD192" s="495"/>
      <c r="BE192" s="495"/>
      <c r="BF192" s="495"/>
      <c r="BG192" s="495"/>
      <c r="BH192" s="495"/>
      <c r="BI192" s="495"/>
      <c r="BJ192" s="495"/>
      <c r="BK192" s="495"/>
      <c r="BL192" s="495"/>
    </row>
    <row r="193" spans="1:64" ht="12">
      <c r="A193" s="495"/>
      <c r="B193" s="495"/>
      <c r="C193" s="495"/>
      <c r="D193" s="495"/>
      <c r="E193" s="495"/>
      <c r="F193" s="495"/>
      <c r="G193" s="495"/>
      <c r="H193" s="495"/>
      <c r="I193" s="495"/>
      <c r="J193" s="495"/>
      <c r="K193" s="495"/>
      <c r="L193" s="495"/>
      <c r="M193" s="495"/>
      <c r="N193" s="495"/>
      <c r="O193" s="495"/>
      <c r="P193" s="495"/>
      <c r="Q193" s="495"/>
      <c r="R193" s="495"/>
      <c r="S193" s="495"/>
      <c r="T193" s="495"/>
      <c r="U193" s="495"/>
      <c r="V193" s="495"/>
      <c r="W193" s="495"/>
      <c r="X193" s="495"/>
      <c r="Y193" s="495"/>
      <c r="Z193" s="495"/>
      <c r="AA193" s="495"/>
      <c r="AB193" s="495"/>
      <c r="AC193" s="495"/>
      <c r="AD193" s="495"/>
      <c r="AE193" s="495"/>
      <c r="AF193" s="495"/>
      <c r="AG193" s="495"/>
      <c r="AH193" s="495"/>
      <c r="AI193" s="495"/>
      <c r="AJ193" s="495"/>
      <c r="AK193" s="495"/>
      <c r="AL193" s="495"/>
      <c r="AM193" s="495"/>
      <c r="AN193" s="495"/>
      <c r="AO193" s="495"/>
      <c r="AP193" s="495"/>
      <c r="AQ193" s="495"/>
      <c r="AR193" s="495"/>
      <c r="AS193" s="495"/>
      <c r="AT193" s="495"/>
      <c r="AU193" s="495"/>
      <c r="AV193" s="495"/>
      <c r="AW193" s="495"/>
      <c r="AX193" s="495"/>
      <c r="AY193" s="495"/>
      <c r="AZ193" s="495"/>
      <c r="BA193" s="495"/>
      <c r="BB193" s="495"/>
      <c r="BC193" s="495"/>
      <c r="BD193" s="495"/>
      <c r="BE193" s="495"/>
      <c r="BF193" s="495"/>
      <c r="BG193" s="495"/>
      <c r="BH193" s="495"/>
      <c r="BI193" s="495"/>
      <c r="BJ193" s="495"/>
      <c r="BK193" s="495"/>
      <c r="BL193" s="495"/>
    </row>
    <row r="194" spans="1:64" ht="12">
      <c r="A194" s="495"/>
      <c r="B194" s="495"/>
      <c r="C194" s="495"/>
      <c r="D194" s="495"/>
      <c r="E194" s="495"/>
      <c r="F194" s="495"/>
      <c r="G194" s="495"/>
      <c r="H194" s="495"/>
      <c r="I194" s="495"/>
      <c r="J194" s="495"/>
      <c r="K194" s="495"/>
      <c r="L194" s="495"/>
      <c r="M194" s="495"/>
      <c r="N194" s="495"/>
      <c r="O194" s="495"/>
      <c r="P194" s="495"/>
      <c r="Q194" s="495"/>
      <c r="R194" s="495"/>
      <c r="S194" s="495"/>
      <c r="T194" s="495"/>
      <c r="U194" s="495"/>
      <c r="V194" s="495"/>
      <c r="W194" s="495"/>
      <c r="X194" s="495"/>
      <c r="Y194" s="495"/>
      <c r="Z194" s="495"/>
      <c r="AA194" s="495"/>
      <c r="AB194" s="495"/>
      <c r="AC194" s="495"/>
      <c r="AD194" s="495"/>
      <c r="AE194" s="495"/>
      <c r="AF194" s="495"/>
      <c r="AG194" s="495"/>
      <c r="AH194" s="495"/>
      <c r="AI194" s="495"/>
      <c r="AJ194" s="495"/>
      <c r="AK194" s="495"/>
      <c r="AL194" s="495"/>
      <c r="AM194" s="495"/>
      <c r="AN194" s="495"/>
      <c r="AO194" s="495"/>
      <c r="AP194" s="495"/>
      <c r="AQ194" s="495"/>
      <c r="AR194" s="495"/>
      <c r="AS194" s="495"/>
      <c r="AT194" s="495"/>
      <c r="AU194" s="495"/>
      <c r="AV194" s="495"/>
      <c r="AW194" s="495"/>
      <c r="AX194" s="495"/>
      <c r="AY194" s="495"/>
      <c r="AZ194" s="495"/>
      <c r="BA194" s="495"/>
      <c r="BB194" s="495"/>
      <c r="BC194" s="495"/>
      <c r="BD194" s="495"/>
      <c r="BE194" s="495"/>
      <c r="BF194" s="495"/>
      <c r="BG194" s="495"/>
      <c r="BH194" s="495"/>
      <c r="BI194" s="495"/>
      <c r="BJ194" s="495"/>
      <c r="BK194" s="495"/>
      <c r="BL194" s="495"/>
    </row>
    <row r="195" spans="1:64" ht="12">
      <c r="A195" s="495"/>
      <c r="B195" s="495"/>
      <c r="C195" s="495"/>
      <c r="D195" s="495"/>
      <c r="E195" s="495"/>
      <c r="F195" s="495"/>
      <c r="G195" s="495"/>
      <c r="H195" s="495"/>
      <c r="I195" s="495"/>
      <c r="J195" s="495"/>
      <c r="K195" s="495"/>
      <c r="L195" s="495"/>
      <c r="M195" s="495"/>
      <c r="N195" s="495"/>
      <c r="O195" s="495"/>
      <c r="P195" s="495"/>
      <c r="Q195" s="495"/>
      <c r="R195" s="495"/>
      <c r="S195" s="495"/>
      <c r="T195" s="495"/>
      <c r="U195" s="495"/>
      <c r="V195" s="495"/>
      <c r="W195" s="495"/>
      <c r="X195" s="495"/>
      <c r="Y195" s="495"/>
      <c r="Z195" s="495"/>
      <c r="AA195" s="495"/>
      <c r="AB195" s="495"/>
      <c r="AC195" s="495"/>
      <c r="AD195" s="495"/>
      <c r="AE195" s="495"/>
      <c r="AF195" s="495"/>
      <c r="AG195" s="495"/>
      <c r="AH195" s="495"/>
      <c r="AI195" s="495"/>
      <c r="AJ195" s="495"/>
      <c r="AK195" s="495"/>
      <c r="AL195" s="495"/>
      <c r="AM195" s="495"/>
      <c r="AN195" s="495"/>
      <c r="AO195" s="495"/>
      <c r="AP195" s="495"/>
      <c r="AQ195" s="495"/>
      <c r="AR195" s="495"/>
      <c r="AS195" s="495"/>
      <c r="AT195" s="495"/>
      <c r="AU195" s="495"/>
      <c r="AV195" s="495"/>
      <c r="AW195" s="495"/>
      <c r="AX195" s="495"/>
      <c r="AY195" s="495"/>
      <c r="AZ195" s="495"/>
      <c r="BA195" s="495"/>
      <c r="BB195" s="495"/>
      <c r="BC195" s="495"/>
      <c r="BD195" s="495"/>
      <c r="BE195" s="495"/>
      <c r="BF195" s="495"/>
      <c r="BG195" s="495"/>
      <c r="BH195" s="495"/>
      <c r="BI195" s="495"/>
      <c r="BJ195" s="495"/>
      <c r="BK195" s="495"/>
      <c r="BL195" s="495"/>
    </row>
    <row r="196" spans="1:64" ht="12">
      <c r="A196" s="495"/>
      <c r="B196" s="495"/>
      <c r="C196" s="495"/>
      <c r="D196" s="495"/>
      <c r="E196" s="495"/>
      <c r="F196" s="495"/>
      <c r="G196" s="495"/>
      <c r="H196" s="495"/>
      <c r="I196" s="495"/>
      <c r="J196" s="495"/>
      <c r="K196" s="495"/>
      <c r="L196" s="495"/>
      <c r="M196" s="495"/>
      <c r="N196" s="495"/>
      <c r="O196" s="495"/>
      <c r="P196" s="495"/>
      <c r="Q196" s="495"/>
      <c r="R196" s="495"/>
      <c r="S196" s="495"/>
      <c r="T196" s="495"/>
      <c r="U196" s="495"/>
      <c r="V196" s="495"/>
      <c r="W196" s="495"/>
      <c r="X196" s="495"/>
      <c r="Y196" s="495"/>
      <c r="Z196" s="495"/>
      <c r="AA196" s="495"/>
      <c r="AB196" s="495"/>
      <c r="AC196" s="495"/>
      <c r="AD196" s="495"/>
      <c r="AE196" s="495"/>
      <c r="AF196" s="495"/>
      <c r="AG196" s="495"/>
      <c r="AH196" s="495"/>
      <c r="AI196" s="495"/>
      <c r="AJ196" s="495"/>
      <c r="AK196" s="495"/>
      <c r="AL196" s="495"/>
      <c r="AM196" s="495"/>
      <c r="AN196" s="495"/>
      <c r="AO196" s="495"/>
      <c r="AP196" s="495"/>
      <c r="AQ196" s="495"/>
      <c r="AR196" s="495"/>
      <c r="AS196" s="495"/>
      <c r="AT196" s="495"/>
      <c r="AU196" s="495"/>
      <c r="AV196" s="495"/>
      <c r="AW196" s="495"/>
      <c r="AX196" s="495"/>
      <c r="AY196" s="495"/>
      <c r="AZ196" s="495"/>
      <c r="BA196" s="495"/>
      <c r="BB196" s="495"/>
      <c r="BC196" s="495"/>
      <c r="BD196" s="495"/>
      <c r="BE196" s="495"/>
      <c r="BF196" s="495"/>
      <c r="BG196" s="495"/>
      <c r="BH196" s="495"/>
      <c r="BI196" s="495"/>
      <c r="BJ196" s="495"/>
      <c r="BK196" s="495"/>
      <c r="BL196" s="495"/>
    </row>
    <row r="197" spans="1:64" ht="12">
      <c r="A197" s="495"/>
      <c r="B197" s="495"/>
      <c r="C197" s="495"/>
      <c r="D197" s="495"/>
      <c r="E197" s="495"/>
      <c r="F197" s="495"/>
      <c r="G197" s="495"/>
      <c r="H197" s="495"/>
      <c r="I197" s="495"/>
      <c r="J197" s="495"/>
      <c r="K197" s="495"/>
      <c r="L197" s="495"/>
      <c r="M197" s="495"/>
      <c r="N197" s="495"/>
      <c r="O197" s="495"/>
      <c r="P197" s="495"/>
      <c r="Q197" s="495"/>
      <c r="R197" s="495"/>
      <c r="S197" s="495"/>
      <c r="T197" s="495"/>
      <c r="U197" s="495"/>
      <c r="V197" s="495"/>
      <c r="W197" s="495"/>
      <c r="X197" s="495"/>
      <c r="Y197" s="495"/>
      <c r="Z197" s="495"/>
      <c r="AA197" s="495"/>
      <c r="AB197" s="495"/>
      <c r="AC197" s="495"/>
      <c r="AD197" s="495"/>
      <c r="AE197" s="495"/>
      <c r="AF197" s="495"/>
      <c r="AG197" s="495"/>
      <c r="AH197" s="495"/>
      <c r="AI197" s="495"/>
      <c r="AJ197" s="495"/>
      <c r="AK197" s="495"/>
      <c r="AL197" s="495"/>
      <c r="AM197" s="495"/>
      <c r="AN197" s="495"/>
      <c r="AO197" s="495"/>
      <c r="AP197" s="495"/>
      <c r="AQ197" s="495"/>
      <c r="AR197" s="495"/>
      <c r="AS197" s="495"/>
      <c r="AT197" s="495"/>
      <c r="AU197" s="495"/>
      <c r="AV197" s="495"/>
      <c r="AW197" s="495"/>
      <c r="AX197" s="495"/>
      <c r="AY197" s="495"/>
      <c r="AZ197" s="495"/>
      <c r="BA197" s="495"/>
      <c r="BB197" s="495"/>
      <c r="BC197" s="495"/>
      <c r="BD197" s="495"/>
      <c r="BE197" s="495"/>
      <c r="BF197" s="495"/>
      <c r="BG197" s="495"/>
      <c r="BH197" s="495"/>
      <c r="BI197" s="495"/>
      <c r="BJ197" s="495"/>
      <c r="BK197" s="495"/>
      <c r="BL197" s="495"/>
    </row>
    <row r="198" spans="1:64" ht="12">
      <c r="A198" s="495"/>
      <c r="B198" s="495"/>
      <c r="C198" s="495"/>
      <c r="D198" s="495"/>
      <c r="E198" s="495"/>
      <c r="F198" s="495"/>
      <c r="G198" s="495"/>
      <c r="H198" s="495"/>
      <c r="I198" s="495"/>
      <c r="J198" s="495"/>
      <c r="K198" s="495"/>
      <c r="L198" s="495"/>
      <c r="M198" s="495"/>
      <c r="N198" s="495"/>
      <c r="O198" s="495"/>
      <c r="P198" s="495"/>
      <c r="Q198" s="495"/>
      <c r="R198" s="495"/>
      <c r="S198" s="495"/>
      <c r="T198" s="495"/>
      <c r="U198" s="495"/>
      <c r="V198" s="495"/>
      <c r="W198" s="495"/>
      <c r="X198" s="495"/>
      <c r="Y198" s="495"/>
      <c r="Z198" s="495"/>
      <c r="AA198" s="495"/>
      <c r="AB198" s="495"/>
      <c r="AC198" s="495"/>
      <c r="AD198" s="495"/>
      <c r="AE198" s="495"/>
      <c r="AF198" s="495"/>
      <c r="AG198" s="495"/>
      <c r="AH198" s="495"/>
      <c r="AI198" s="495"/>
      <c r="AJ198" s="495"/>
      <c r="AK198" s="495"/>
      <c r="AL198" s="495"/>
      <c r="AM198" s="495"/>
      <c r="AN198" s="495"/>
      <c r="AO198" s="495"/>
      <c r="AP198" s="495"/>
      <c r="AQ198" s="495"/>
      <c r="AR198" s="495"/>
      <c r="AS198" s="495"/>
      <c r="AT198" s="495"/>
      <c r="AU198" s="495"/>
      <c r="AV198" s="495"/>
      <c r="AW198" s="495"/>
      <c r="AX198" s="495"/>
      <c r="AY198" s="495"/>
      <c r="AZ198" s="495"/>
      <c r="BA198" s="495"/>
      <c r="BB198" s="495"/>
      <c r="BC198" s="495"/>
      <c r="BD198" s="495"/>
      <c r="BE198" s="495"/>
      <c r="BF198" s="495"/>
      <c r="BG198" s="495"/>
      <c r="BH198" s="495"/>
      <c r="BI198" s="495"/>
      <c r="BJ198" s="495"/>
      <c r="BK198" s="495"/>
      <c r="BL198" s="495"/>
    </row>
    <row r="199" spans="1:64" ht="12">
      <c r="A199" s="495"/>
      <c r="B199" s="495"/>
      <c r="C199" s="495"/>
      <c r="D199" s="495"/>
      <c r="E199" s="495"/>
      <c r="F199" s="495"/>
      <c r="G199" s="495"/>
      <c r="H199" s="495"/>
      <c r="I199" s="495"/>
      <c r="J199" s="495"/>
      <c r="K199" s="495"/>
      <c r="L199" s="495"/>
      <c r="M199" s="495"/>
      <c r="N199" s="495"/>
      <c r="O199" s="495"/>
      <c r="P199" s="495"/>
      <c r="Q199" s="495"/>
      <c r="R199" s="495"/>
      <c r="S199" s="495"/>
      <c r="T199" s="495"/>
      <c r="U199" s="495"/>
      <c r="V199" s="495"/>
      <c r="W199" s="495"/>
      <c r="X199" s="495"/>
      <c r="Y199" s="495"/>
      <c r="Z199" s="495"/>
      <c r="AA199" s="495"/>
      <c r="AB199" s="495"/>
      <c r="AC199" s="495"/>
      <c r="AD199" s="495"/>
      <c r="AE199" s="495"/>
      <c r="AF199" s="495"/>
      <c r="AG199" s="495"/>
      <c r="AH199" s="495"/>
      <c r="AI199" s="495"/>
      <c r="AJ199" s="495"/>
      <c r="AK199" s="495"/>
      <c r="AL199" s="495"/>
      <c r="AM199" s="495"/>
      <c r="AN199" s="495"/>
      <c r="AO199" s="495"/>
      <c r="AP199" s="495"/>
      <c r="AQ199" s="495"/>
      <c r="AR199" s="495"/>
      <c r="AS199" s="495"/>
      <c r="AT199" s="495"/>
      <c r="AU199" s="495"/>
      <c r="AV199" s="495"/>
      <c r="AW199" s="495"/>
      <c r="AX199" s="495"/>
      <c r="AY199" s="495"/>
      <c r="AZ199" s="495"/>
      <c r="BA199" s="495"/>
      <c r="BB199" s="495"/>
      <c r="BC199" s="495"/>
      <c r="BD199" s="495"/>
      <c r="BE199" s="495"/>
      <c r="BF199" s="495"/>
      <c r="BG199" s="495"/>
      <c r="BH199" s="495"/>
      <c r="BI199" s="495"/>
      <c r="BJ199" s="495"/>
      <c r="BK199" s="495"/>
      <c r="BL199" s="495"/>
    </row>
    <row r="200" spans="1:64" ht="12">
      <c r="A200" s="495"/>
      <c r="B200" s="495"/>
      <c r="C200" s="495"/>
      <c r="D200" s="495"/>
      <c r="E200" s="495"/>
      <c r="F200" s="495"/>
      <c r="G200" s="495"/>
      <c r="H200" s="495"/>
      <c r="I200" s="495"/>
      <c r="J200" s="495"/>
      <c r="K200" s="495"/>
      <c r="L200" s="495"/>
      <c r="M200" s="495"/>
      <c r="N200" s="495"/>
      <c r="O200" s="495"/>
      <c r="P200" s="495"/>
      <c r="Q200" s="495"/>
      <c r="R200" s="495"/>
      <c r="S200" s="495"/>
      <c r="T200" s="495"/>
      <c r="U200" s="495"/>
      <c r="V200" s="495"/>
      <c r="W200" s="495"/>
      <c r="X200" s="495"/>
      <c r="Y200" s="495"/>
      <c r="Z200" s="495"/>
      <c r="AA200" s="495"/>
      <c r="AB200" s="495"/>
      <c r="AC200" s="495"/>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5"/>
      <c r="AY200" s="495"/>
      <c r="AZ200" s="495"/>
      <c r="BA200" s="495"/>
      <c r="BB200" s="495"/>
      <c r="BC200" s="495"/>
      <c r="BD200" s="495"/>
      <c r="BE200" s="495"/>
      <c r="BF200" s="495"/>
      <c r="BG200" s="495"/>
      <c r="BH200" s="495"/>
      <c r="BI200" s="495"/>
      <c r="BJ200" s="495"/>
      <c r="BK200" s="495"/>
      <c r="BL200" s="495"/>
    </row>
    <row r="201" spans="1:64" ht="12">
      <c r="A201" s="495"/>
      <c r="B201" s="495"/>
      <c r="C201" s="495"/>
      <c r="D201" s="495"/>
      <c r="E201" s="495"/>
      <c r="F201" s="495"/>
      <c r="G201" s="495"/>
      <c r="H201" s="495"/>
      <c r="I201" s="495"/>
      <c r="J201" s="495"/>
      <c r="K201" s="495"/>
      <c r="L201" s="495"/>
      <c r="M201" s="495"/>
      <c r="N201" s="495"/>
      <c r="O201" s="495"/>
      <c r="P201" s="495"/>
      <c r="Q201" s="495"/>
      <c r="R201" s="495"/>
      <c r="S201" s="495"/>
      <c r="T201" s="495"/>
      <c r="U201" s="495"/>
      <c r="V201" s="495"/>
      <c r="W201" s="495"/>
      <c r="X201" s="495"/>
      <c r="Y201" s="495"/>
      <c r="Z201" s="495"/>
      <c r="AA201" s="495"/>
      <c r="AB201" s="495"/>
      <c r="AC201" s="495"/>
      <c r="AD201" s="495"/>
      <c r="AE201" s="495"/>
      <c r="AF201" s="495"/>
      <c r="AG201" s="495"/>
      <c r="AH201" s="495"/>
      <c r="AI201" s="495"/>
      <c r="AJ201" s="495"/>
      <c r="AK201" s="495"/>
      <c r="AL201" s="495"/>
      <c r="AM201" s="495"/>
      <c r="AN201" s="495"/>
      <c r="AO201" s="495"/>
      <c r="AP201" s="495"/>
      <c r="AQ201" s="495"/>
      <c r="AR201" s="495"/>
      <c r="AS201" s="495"/>
      <c r="AT201" s="495"/>
      <c r="AU201" s="495"/>
      <c r="AV201" s="495"/>
      <c r="AW201" s="495"/>
      <c r="AX201" s="495"/>
      <c r="AY201" s="495"/>
      <c r="AZ201" s="495"/>
      <c r="BA201" s="495"/>
      <c r="BB201" s="495"/>
      <c r="BC201" s="495"/>
      <c r="BD201" s="495"/>
      <c r="BE201" s="495"/>
      <c r="BF201" s="495"/>
      <c r="BG201" s="495"/>
      <c r="BH201" s="495"/>
      <c r="BI201" s="495"/>
      <c r="BJ201" s="495"/>
      <c r="BK201" s="495"/>
      <c r="BL201" s="495"/>
    </row>
    <row r="202" spans="1:64" ht="12">
      <c r="A202" s="495"/>
      <c r="B202" s="495"/>
      <c r="C202" s="495"/>
      <c r="D202" s="495"/>
      <c r="E202" s="495"/>
      <c r="F202" s="495"/>
      <c r="G202" s="495"/>
      <c r="H202" s="495"/>
      <c r="I202" s="495"/>
      <c r="J202" s="495"/>
      <c r="K202" s="495"/>
      <c r="L202" s="495"/>
      <c r="M202" s="495"/>
      <c r="N202" s="495"/>
      <c r="O202" s="495"/>
      <c r="P202" s="495"/>
      <c r="Q202" s="495"/>
      <c r="R202" s="495"/>
      <c r="S202" s="495"/>
      <c r="T202" s="495"/>
      <c r="U202" s="495"/>
      <c r="V202" s="495"/>
      <c r="W202" s="495"/>
      <c r="X202" s="495"/>
      <c r="Y202" s="495"/>
      <c r="Z202" s="495"/>
      <c r="AA202" s="495"/>
      <c r="AB202" s="495"/>
      <c r="AC202" s="495"/>
      <c r="AD202" s="495"/>
      <c r="AE202" s="495"/>
      <c r="AF202" s="495"/>
      <c r="AG202" s="495"/>
      <c r="AH202" s="495"/>
      <c r="AI202" s="495"/>
      <c r="AJ202" s="495"/>
      <c r="AK202" s="495"/>
      <c r="AL202" s="495"/>
      <c r="AM202" s="495"/>
      <c r="AN202" s="495"/>
      <c r="AO202" s="495"/>
      <c r="AP202" s="495"/>
      <c r="AQ202" s="495"/>
      <c r="AR202" s="495"/>
      <c r="AS202" s="495"/>
      <c r="AT202" s="495"/>
      <c r="AU202" s="495"/>
      <c r="AV202" s="495"/>
      <c r="AW202" s="495"/>
      <c r="AX202" s="495"/>
      <c r="AY202" s="495"/>
      <c r="AZ202" s="495"/>
      <c r="BA202" s="495"/>
      <c r="BB202" s="495"/>
      <c r="BC202" s="495"/>
      <c r="BD202" s="495"/>
      <c r="BE202" s="495"/>
      <c r="BF202" s="495"/>
      <c r="BG202" s="495"/>
      <c r="BH202" s="495"/>
      <c r="BI202" s="495"/>
      <c r="BJ202" s="495"/>
      <c r="BK202" s="495"/>
      <c r="BL202" s="495"/>
    </row>
    <row r="203" spans="1:64" ht="12">
      <c r="A203" s="495"/>
      <c r="B203" s="495"/>
      <c r="C203" s="495"/>
      <c r="D203" s="495"/>
      <c r="E203" s="495"/>
      <c r="F203" s="495"/>
      <c r="G203" s="495"/>
      <c r="H203" s="495"/>
      <c r="I203" s="495"/>
      <c r="J203" s="495"/>
      <c r="K203" s="495"/>
      <c r="L203" s="495"/>
      <c r="M203" s="495"/>
      <c r="N203" s="495"/>
      <c r="O203" s="495"/>
      <c r="P203" s="495"/>
      <c r="Q203" s="495"/>
      <c r="R203" s="495"/>
      <c r="S203" s="495"/>
      <c r="T203" s="495"/>
      <c r="U203" s="495"/>
      <c r="V203" s="495"/>
      <c r="W203" s="495"/>
      <c r="X203" s="495"/>
      <c r="Y203" s="495"/>
      <c r="Z203" s="495"/>
      <c r="AA203" s="495"/>
      <c r="AB203" s="495"/>
      <c r="AC203" s="495"/>
      <c r="AD203" s="495"/>
      <c r="AE203" s="495"/>
      <c r="AF203" s="495"/>
      <c r="AG203" s="495"/>
      <c r="AH203" s="495"/>
      <c r="AI203" s="495"/>
      <c r="AJ203" s="495"/>
      <c r="AK203" s="495"/>
      <c r="AL203" s="495"/>
      <c r="AM203" s="495"/>
      <c r="AN203" s="495"/>
      <c r="AO203" s="495"/>
      <c r="AP203" s="495"/>
      <c r="AQ203" s="495"/>
      <c r="AR203" s="495"/>
      <c r="AS203" s="495"/>
      <c r="AT203" s="495"/>
      <c r="AU203" s="495"/>
      <c r="AV203" s="495"/>
      <c r="AW203" s="495"/>
      <c r="AX203" s="495"/>
      <c r="AY203" s="495"/>
      <c r="AZ203" s="495"/>
      <c r="BA203" s="495"/>
      <c r="BB203" s="495"/>
      <c r="BC203" s="495"/>
      <c r="BD203" s="495"/>
      <c r="BE203" s="495"/>
      <c r="BF203" s="495"/>
      <c r="BG203" s="495"/>
      <c r="BH203" s="495"/>
      <c r="BI203" s="495"/>
      <c r="BJ203" s="495"/>
      <c r="BK203" s="495"/>
      <c r="BL203" s="495"/>
    </row>
    <row r="204" spans="1:64" ht="12">
      <c r="A204" s="495"/>
      <c r="B204" s="495"/>
      <c r="C204" s="495"/>
      <c r="D204" s="495"/>
      <c r="E204" s="495"/>
      <c r="F204" s="495"/>
      <c r="G204" s="495"/>
      <c r="H204" s="495"/>
      <c r="I204" s="495"/>
      <c r="J204" s="495"/>
      <c r="K204" s="495"/>
      <c r="L204" s="495"/>
      <c r="M204" s="495"/>
      <c r="N204" s="495"/>
      <c r="O204" s="495"/>
      <c r="P204" s="495"/>
      <c r="Q204" s="495"/>
      <c r="R204" s="495"/>
      <c r="S204" s="495"/>
      <c r="T204" s="495"/>
      <c r="U204" s="495"/>
      <c r="V204" s="495"/>
      <c r="W204" s="495"/>
      <c r="X204" s="495"/>
      <c r="Y204" s="495"/>
      <c r="Z204" s="495"/>
      <c r="AA204" s="495"/>
      <c r="AB204" s="495"/>
      <c r="AC204" s="495"/>
      <c r="AD204" s="495"/>
      <c r="AE204" s="495"/>
      <c r="AF204" s="495"/>
      <c r="AG204" s="495"/>
      <c r="AH204" s="495"/>
      <c r="AI204" s="495"/>
      <c r="AJ204" s="495"/>
      <c r="AK204" s="495"/>
      <c r="AL204" s="495"/>
      <c r="AM204" s="495"/>
      <c r="AN204" s="495"/>
      <c r="AO204" s="495"/>
      <c r="AP204" s="495"/>
      <c r="AQ204" s="495"/>
      <c r="AR204" s="495"/>
      <c r="AS204" s="495"/>
      <c r="AT204" s="495"/>
      <c r="AU204" s="495"/>
      <c r="AV204" s="495"/>
      <c r="AW204" s="495"/>
      <c r="AX204" s="495"/>
      <c r="AY204" s="495"/>
      <c r="AZ204" s="495"/>
      <c r="BA204" s="495"/>
      <c r="BB204" s="495"/>
      <c r="BC204" s="495"/>
      <c r="BD204" s="495"/>
      <c r="BE204" s="495"/>
      <c r="BF204" s="495"/>
      <c r="BG204" s="495"/>
      <c r="BH204" s="495"/>
      <c r="BI204" s="495"/>
      <c r="BJ204" s="495"/>
      <c r="BK204" s="495"/>
      <c r="BL204" s="495"/>
    </row>
    <row r="205" spans="1:64" ht="12">
      <c r="A205" s="495"/>
      <c r="B205" s="495"/>
      <c r="C205" s="495"/>
      <c r="D205" s="495"/>
      <c r="E205" s="495"/>
      <c r="F205" s="495"/>
      <c r="G205" s="495"/>
      <c r="H205" s="495"/>
      <c r="I205" s="495"/>
      <c r="J205" s="495"/>
      <c r="K205" s="495"/>
      <c r="L205" s="495"/>
      <c r="M205" s="495"/>
      <c r="N205" s="495"/>
      <c r="O205" s="495"/>
      <c r="P205" s="495"/>
      <c r="Q205" s="495"/>
      <c r="R205" s="495"/>
      <c r="S205" s="495"/>
      <c r="T205" s="495"/>
      <c r="U205" s="495"/>
      <c r="V205" s="495"/>
      <c r="W205" s="495"/>
      <c r="X205" s="495"/>
      <c r="Y205" s="495"/>
      <c r="Z205" s="495"/>
      <c r="AA205" s="495"/>
      <c r="AB205" s="495"/>
      <c r="AC205" s="495"/>
      <c r="AD205" s="495"/>
      <c r="AE205" s="495"/>
      <c r="AF205" s="495"/>
      <c r="AG205" s="495"/>
      <c r="AH205" s="495"/>
      <c r="AI205" s="495"/>
      <c r="AJ205" s="495"/>
      <c r="AK205" s="495"/>
      <c r="AL205" s="495"/>
      <c r="AM205" s="495"/>
      <c r="AN205" s="495"/>
      <c r="AO205" s="495"/>
      <c r="AP205" s="495"/>
      <c r="AQ205" s="495"/>
      <c r="AR205" s="495"/>
      <c r="AS205" s="495"/>
      <c r="AT205" s="495"/>
      <c r="AU205" s="495"/>
      <c r="AV205" s="495"/>
      <c r="AW205" s="495"/>
      <c r="AX205" s="495"/>
      <c r="AY205" s="495"/>
      <c r="AZ205" s="495"/>
      <c r="BA205" s="495"/>
      <c r="BB205" s="495"/>
      <c r="BC205" s="495"/>
      <c r="BD205" s="495"/>
      <c r="BE205" s="495"/>
      <c r="BF205" s="495"/>
      <c r="BG205" s="495"/>
      <c r="BH205" s="495"/>
      <c r="BI205" s="495"/>
      <c r="BJ205" s="495"/>
      <c r="BK205" s="495"/>
      <c r="BL205" s="495"/>
    </row>
    <row r="206" spans="1:64" ht="12">
      <c r="A206" s="495"/>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5"/>
      <c r="AK206" s="495"/>
      <c r="AL206" s="495"/>
      <c r="AM206" s="495"/>
      <c r="AN206" s="495"/>
      <c r="AO206" s="495"/>
      <c r="AP206" s="495"/>
      <c r="AQ206" s="495"/>
      <c r="AR206" s="495"/>
      <c r="AS206" s="495"/>
      <c r="AT206" s="495"/>
      <c r="AU206" s="495"/>
      <c r="AV206" s="495"/>
      <c r="AW206" s="495"/>
      <c r="AX206" s="495"/>
      <c r="AY206" s="495"/>
      <c r="AZ206" s="495"/>
      <c r="BA206" s="495"/>
      <c r="BB206" s="495"/>
      <c r="BC206" s="495"/>
      <c r="BD206" s="495"/>
      <c r="BE206" s="495"/>
      <c r="BF206" s="495"/>
      <c r="BG206" s="495"/>
      <c r="BH206" s="495"/>
      <c r="BI206" s="495"/>
      <c r="BJ206" s="495"/>
      <c r="BK206" s="495"/>
      <c r="BL206" s="495"/>
    </row>
    <row r="207" spans="1:64" ht="12">
      <c r="A207" s="495"/>
      <c r="B207" s="495"/>
      <c r="C207" s="495"/>
      <c r="D207" s="495"/>
      <c r="E207" s="495"/>
      <c r="F207" s="495"/>
      <c r="G207" s="495"/>
      <c r="H207" s="495"/>
      <c r="I207" s="495"/>
      <c r="J207" s="495"/>
      <c r="K207" s="495"/>
      <c r="L207" s="495"/>
      <c r="M207" s="495"/>
      <c r="N207" s="495"/>
      <c r="O207" s="495"/>
      <c r="P207" s="495"/>
      <c r="Q207" s="495"/>
      <c r="R207" s="495"/>
      <c r="S207" s="495"/>
      <c r="T207" s="495"/>
      <c r="U207" s="495"/>
      <c r="V207" s="495"/>
      <c r="W207" s="495"/>
      <c r="X207" s="495"/>
      <c r="Y207" s="495"/>
      <c r="Z207" s="495"/>
      <c r="AA207" s="495"/>
      <c r="AB207" s="495"/>
      <c r="AC207" s="495"/>
      <c r="AD207" s="495"/>
      <c r="AE207" s="495"/>
      <c r="AF207" s="495"/>
      <c r="AG207" s="495"/>
      <c r="AH207" s="495"/>
      <c r="AI207" s="495"/>
      <c r="AJ207" s="495"/>
      <c r="AK207" s="495"/>
      <c r="AL207" s="495"/>
      <c r="AM207" s="495"/>
      <c r="AN207" s="495"/>
      <c r="AO207" s="495"/>
      <c r="AP207" s="495"/>
      <c r="AQ207" s="495"/>
      <c r="AR207" s="495"/>
      <c r="AS207" s="495"/>
      <c r="AT207" s="495"/>
      <c r="AU207" s="495"/>
      <c r="AV207" s="495"/>
      <c r="AW207" s="495"/>
      <c r="AX207" s="495"/>
      <c r="AY207" s="495"/>
      <c r="AZ207" s="495"/>
      <c r="BA207" s="495"/>
      <c r="BB207" s="495"/>
      <c r="BC207" s="495"/>
      <c r="BD207" s="495"/>
      <c r="BE207" s="495"/>
      <c r="BF207" s="495"/>
      <c r="BG207" s="495"/>
      <c r="BH207" s="495"/>
      <c r="BI207" s="495"/>
      <c r="BJ207" s="495"/>
      <c r="BK207" s="495"/>
      <c r="BL207" s="495"/>
    </row>
    <row r="208" spans="1:64" ht="12">
      <c r="A208" s="495"/>
      <c r="B208" s="495"/>
      <c r="C208" s="495"/>
      <c r="D208" s="495"/>
      <c r="E208" s="495"/>
      <c r="F208" s="495"/>
      <c r="G208" s="495"/>
      <c r="H208" s="495"/>
      <c r="I208" s="495"/>
      <c r="J208" s="495"/>
      <c r="K208" s="495"/>
      <c r="L208" s="495"/>
      <c r="M208" s="495"/>
      <c r="N208" s="495"/>
      <c r="O208" s="495"/>
      <c r="P208" s="495"/>
      <c r="Q208" s="495"/>
      <c r="R208" s="495"/>
      <c r="S208" s="495"/>
      <c r="T208" s="495"/>
      <c r="U208" s="495"/>
      <c r="V208" s="495"/>
      <c r="W208" s="495"/>
      <c r="X208" s="495"/>
      <c r="Y208" s="495"/>
      <c r="Z208" s="495"/>
      <c r="AA208" s="495"/>
      <c r="AB208" s="495"/>
      <c r="AC208" s="495"/>
      <c r="AD208" s="495"/>
      <c r="AE208" s="495"/>
      <c r="AF208" s="495"/>
      <c r="AG208" s="495"/>
      <c r="AH208" s="495"/>
      <c r="AI208" s="495"/>
      <c r="AJ208" s="495"/>
      <c r="AK208" s="495"/>
      <c r="AL208" s="495"/>
      <c r="AM208" s="495"/>
      <c r="AN208" s="495"/>
      <c r="AO208" s="495"/>
      <c r="AP208" s="495"/>
      <c r="AQ208" s="495"/>
      <c r="AR208" s="495"/>
      <c r="AS208" s="495"/>
      <c r="AT208" s="495"/>
      <c r="AU208" s="495"/>
      <c r="AV208" s="495"/>
      <c r="AW208" s="495"/>
      <c r="AX208" s="495"/>
      <c r="AY208" s="495"/>
      <c r="AZ208" s="495"/>
      <c r="BA208" s="495"/>
      <c r="BB208" s="495"/>
      <c r="BC208" s="495"/>
      <c r="BD208" s="495"/>
      <c r="BE208" s="495"/>
      <c r="BF208" s="495"/>
      <c r="BG208" s="495"/>
      <c r="BH208" s="495"/>
      <c r="BI208" s="495"/>
      <c r="BJ208" s="495"/>
      <c r="BK208" s="495"/>
      <c r="BL208" s="495"/>
    </row>
    <row r="209" spans="1:64" ht="12">
      <c r="A209" s="495"/>
      <c r="B209" s="495"/>
      <c r="C209" s="495"/>
      <c r="D209" s="495"/>
      <c r="E209" s="495"/>
      <c r="F209" s="495"/>
      <c r="G209" s="495"/>
      <c r="H209" s="495"/>
      <c r="I209" s="495"/>
      <c r="J209" s="495"/>
      <c r="K209" s="495"/>
      <c r="L209" s="495"/>
      <c r="M209" s="495"/>
      <c r="N209" s="495"/>
      <c r="O209" s="495"/>
      <c r="P209" s="495"/>
      <c r="Q209" s="495"/>
      <c r="R209" s="495"/>
      <c r="S209" s="495"/>
      <c r="T209" s="495"/>
      <c r="U209" s="495"/>
      <c r="V209" s="495"/>
      <c r="W209" s="495"/>
      <c r="X209" s="495"/>
      <c r="Y209" s="495"/>
      <c r="Z209" s="495"/>
      <c r="AA209" s="495"/>
      <c r="AB209" s="495"/>
      <c r="AC209" s="495"/>
      <c r="AD209" s="495"/>
      <c r="AE209" s="495"/>
      <c r="AF209" s="495"/>
      <c r="AG209" s="495"/>
      <c r="AH209" s="495"/>
      <c r="AI209" s="495"/>
      <c r="AJ209" s="495"/>
      <c r="AK209" s="495"/>
      <c r="AL209" s="495"/>
      <c r="AM209" s="495"/>
      <c r="AN209" s="495"/>
      <c r="AO209" s="495"/>
      <c r="AP209" s="495"/>
      <c r="AQ209" s="495"/>
      <c r="AR209" s="495"/>
      <c r="AS209" s="495"/>
      <c r="AT209" s="495"/>
      <c r="AU209" s="495"/>
      <c r="AV209" s="495"/>
      <c r="AW209" s="495"/>
      <c r="AX209" s="495"/>
      <c r="AY209" s="495"/>
      <c r="AZ209" s="495"/>
      <c r="BA209" s="495"/>
      <c r="BB209" s="495"/>
      <c r="BC209" s="495"/>
      <c r="BD209" s="495"/>
      <c r="BE209" s="495"/>
      <c r="BF209" s="495"/>
      <c r="BG209" s="495"/>
      <c r="BH209" s="495"/>
      <c r="BI209" s="495"/>
      <c r="BJ209" s="495"/>
      <c r="BK209" s="495"/>
      <c r="BL209" s="495"/>
    </row>
    <row r="210" spans="1:64" ht="12">
      <c r="A210" s="495"/>
      <c r="B210" s="495"/>
      <c r="C210" s="495"/>
      <c r="D210" s="495"/>
      <c r="E210" s="495"/>
      <c r="F210" s="495"/>
      <c r="G210" s="495"/>
      <c r="H210" s="495"/>
      <c r="I210" s="495"/>
      <c r="J210" s="495"/>
      <c r="K210" s="495"/>
      <c r="L210" s="495"/>
      <c r="M210" s="495"/>
      <c r="N210" s="495"/>
      <c r="O210" s="495"/>
      <c r="P210" s="495"/>
      <c r="Q210" s="495"/>
      <c r="R210" s="495"/>
      <c r="S210" s="495"/>
      <c r="T210" s="495"/>
      <c r="U210" s="495"/>
      <c r="V210" s="495"/>
      <c r="W210" s="495"/>
      <c r="X210" s="495"/>
      <c r="Y210" s="495"/>
      <c r="Z210" s="495"/>
      <c r="AA210" s="495"/>
      <c r="AB210" s="495"/>
      <c r="AC210" s="495"/>
      <c r="AD210" s="495"/>
      <c r="AE210" s="495"/>
      <c r="AF210" s="495"/>
      <c r="AG210" s="495"/>
      <c r="AH210" s="495"/>
      <c r="AI210" s="495"/>
      <c r="AJ210" s="495"/>
      <c r="AK210" s="495"/>
      <c r="AL210" s="495"/>
      <c r="AM210" s="495"/>
      <c r="AN210" s="495"/>
      <c r="AO210" s="495"/>
      <c r="AP210" s="495"/>
      <c r="AQ210" s="495"/>
      <c r="AR210" s="495"/>
      <c r="AS210" s="495"/>
      <c r="AT210" s="495"/>
      <c r="AU210" s="495"/>
      <c r="AV210" s="495"/>
      <c r="AW210" s="495"/>
      <c r="AX210" s="495"/>
      <c r="AY210" s="495"/>
      <c r="AZ210" s="495"/>
      <c r="BA210" s="495"/>
      <c r="BB210" s="495"/>
      <c r="BC210" s="495"/>
      <c r="BD210" s="495"/>
      <c r="BE210" s="495"/>
      <c r="BF210" s="495"/>
      <c r="BG210" s="495"/>
      <c r="BH210" s="495"/>
      <c r="BI210" s="495"/>
      <c r="BJ210" s="495"/>
      <c r="BK210" s="495"/>
      <c r="BL210" s="495"/>
    </row>
    <row r="211" spans="1:64" ht="12">
      <c r="A211" s="495"/>
      <c r="B211" s="495"/>
      <c r="C211" s="495"/>
      <c r="D211" s="495"/>
      <c r="E211" s="495"/>
      <c r="F211" s="495"/>
      <c r="G211" s="495"/>
      <c r="H211" s="495"/>
      <c r="I211" s="495"/>
      <c r="J211" s="495"/>
      <c r="K211" s="495"/>
      <c r="L211" s="495"/>
      <c r="M211" s="495"/>
      <c r="N211" s="495"/>
      <c r="O211" s="495"/>
      <c r="P211" s="495"/>
      <c r="Q211" s="495"/>
      <c r="R211" s="495"/>
      <c r="S211" s="495"/>
      <c r="T211" s="495"/>
      <c r="U211" s="495"/>
      <c r="V211" s="495"/>
      <c r="W211" s="495"/>
      <c r="X211" s="495"/>
      <c r="Y211" s="495"/>
      <c r="Z211" s="495"/>
      <c r="AA211" s="495"/>
      <c r="AB211" s="495"/>
      <c r="AC211" s="495"/>
      <c r="AD211" s="495"/>
      <c r="AE211" s="495"/>
      <c r="AF211" s="495"/>
      <c r="AG211" s="495"/>
      <c r="AH211" s="495"/>
      <c r="AI211" s="495"/>
      <c r="AJ211" s="495"/>
      <c r="AK211" s="495"/>
      <c r="AL211" s="495"/>
      <c r="AM211" s="495"/>
      <c r="AN211" s="495"/>
      <c r="AO211" s="495"/>
      <c r="AP211" s="495"/>
      <c r="AQ211" s="495"/>
      <c r="AR211" s="495"/>
      <c r="AS211" s="495"/>
      <c r="AT211" s="495"/>
      <c r="AU211" s="495"/>
      <c r="AV211" s="495"/>
      <c r="AW211" s="495"/>
      <c r="AX211" s="495"/>
      <c r="AY211" s="495"/>
      <c r="AZ211" s="495"/>
      <c r="BA211" s="495"/>
      <c r="BB211" s="495"/>
      <c r="BC211" s="495"/>
      <c r="BD211" s="495"/>
      <c r="BE211" s="495"/>
      <c r="BF211" s="495"/>
      <c r="BG211" s="495"/>
      <c r="BH211" s="495"/>
      <c r="BI211" s="495"/>
      <c r="BJ211" s="495"/>
      <c r="BK211" s="495"/>
      <c r="BL211" s="495"/>
    </row>
    <row r="212" spans="1:64" ht="12">
      <c r="A212" s="495"/>
      <c r="B212" s="495"/>
      <c r="C212" s="495"/>
      <c r="D212" s="495"/>
      <c r="E212" s="495"/>
      <c r="F212" s="495"/>
      <c r="G212" s="495"/>
      <c r="H212" s="495"/>
      <c r="I212" s="495"/>
      <c r="J212" s="495"/>
      <c r="K212" s="495"/>
      <c r="L212" s="495"/>
      <c r="M212" s="495"/>
      <c r="N212" s="495"/>
      <c r="O212" s="495"/>
      <c r="P212" s="495"/>
      <c r="Q212" s="495"/>
      <c r="R212" s="495"/>
      <c r="S212" s="495"/>
      <c r="T212" s="495"/>
      <c r="U212" s="495"/>
      <c r="V212" s="495"/>
      <c r="W212" s="495"/>
      <c r="X212" s="495"/>
      <c r="Y212" s="495"/>
      <c r="Z212" s="495"/>
      <c r="AA212" s="495"/>
      <c r="AB212" s="495"/>
      <c r="AC212" s="495"/>
      <c r="AD212" s="495"/>
      <c r="AE212" s="495"/>
      <c r="AF212" s="495"/>
      <c r="AG212" s="495"/>
      <c r="AH212" s="495"/>
      <c r="AI212" s="495"/>
      <c r="AJ212" s="495"/>
      <c r="AK212" s="495"/>
      <c r="AL212" s="495"/>
      <c r="AM212" s="495"/>
      <c r="AN212" s="495"/>
      <c r="AO212" s="495"/>
      <c r="AP212" s="495"/>
      <c r="AQ212" s="495"/>
      <c r="AR212" s="495"/>
      <c r="AS212" s="495"/>
      <c r="AT212" s="495"/>
      <c r="AU212" s="495"/>
      <c r="AV212" s="495"/>
      <c r="AW212" s="495"/>
      <c r="AX212" s="495"/>
      <c r="AY212" s="495"/>
      <c r="AZ212" s="495"/>
      <c r="BA212" s="495"/>
      <c r="BB212" s="495"/>
      <c r="BC212" s="495"/>
      <c r="BD212" s="495"/>
      <c r="BE212" s="495"/>
      <c r="BF212" s="495"/>
      <c r="BG212" s="495"/>
      <c r="BH212" s="495"/>
      <c r="BI212" s="495"/>
      <c r="BJ212" s="495"/>
      <c r="BK212" s="495"/>
      <c r="BL212" s="495"/>
    </row>
    <row r="213" spans="1:64" ht="12">
      <c r="A213" s="495"/>
      <c r="B213" s="495"/>
      <c r="C213" s="495"/>
      <c r="D213" s="495"/>
      <c r="E213" s="495"/>
      <c r="F213" s="495"/>
      <c r="G213" s="495"/>
      <c r="H213" s="495"/>
      <c r="I213" s="495"/>
      <c r="J213" s="495"/>
      <c r="K213" s="495"/>
      <c r="L213" s="495"/>
      <c r="M213" s="495"/>
      <c r="N213" s="495"/>
      <c r="O213" s="495"/>
      <c r="P213" s="495"/>
      <c r="Q213" s="495"/>
      <c r="R213" s="495"/>
      <c r="S213" s="495"/>
      <c r="T213" s="495"/>
      <c r="U213" s="495"/>
      <c r="V213" s="495"/>
      <c r="W213" s="495"/>
      <c r="X213" s="495"/>
      <c r="Y213" s="495"/>
      <c r="Z213" s="495"/>
      <c r="AA213" s="495"/>
      <c r="AB213" s="495"/>
      <c r="AC213" s="495"/>
      <c r="AD213" s="495"/>
      <c r="AE213" s="495"/>
      <c r="AF213" s="495"/>
      <c r="AG213" s="495"/>
      <c r="AH213" s="495"/>
      <c r="AI213" s="495"/>
      <c r="AJ213" s="495"/>
      <c r="AK213" s="495"/>
      <c r="AL213" s="495"/>
      <c r="AM213" s="495"/>
      <c r="AN213" s="495"/>
      <c r="AO213" s="495"/>
      <c r="AP213" s="495"/>
      <c r="AQ213" s="495"/>
      <c r="AR213" s="495"/>
      <c r="AS213" s="495"/>
      <c r="AT213" s="495"/>
      <c r="AU213" s="495"/>
      <c r="AV213" s="495"/>
      <c r="AW213" s="495"/>
      <c r="AX213" s="495"/>
      <c r="AY213" s="495"/>
      <c r="AZ213" s="495"/>
      <c r="BA213" s="495"/>
      <c r="BB213" s="495"/>
      <c r="BC213" s="495"/>
      <c r="BD213" s="495"/>
      <c r="BE213" s="495"/>
      <c r="BF213" s="495"/>
      <c r="BG213" s="495"/>
      <c r="BH213" s="495"/>
      <c r="BI213" s="495"/>
      <c r="BJ213" s="495"/>
      <c r="BK213" s="495"/>
      <c r="BL213" s="495"/>
    </row>
    <row r="214" spans="1:64" ht="12">
      <c r="A214" s="495"/>
      <c r="B214" s="495"/>
      <c r="C214" s="495"/>
      <c r="D214" s="495"/>
      <c r="E214" s="495"/>
      <c r="F214" s="495"/>
      <c r="G214" s="495"/>
      <c r="H214" s="495"/>
      <c r="I214" s="495"/>
      <c r="J214" s="495"/>
      <c r="K214" s="495"/>
      <c r="L214" s="495"/>
      <c r="M214" s="495"/>
      <c r="N214" s="495"/>
      <c r="O214" s="495"/>
      <c r="P214" s="495"/>
      <c r="Q214" s="495"/>
      <c r="R214" s="495"/>
      <c r="S214" s="495"/>
      <c r="T214" s="495"/>
      <c r="U214" s="495"/>
      <c r="V214" s="495"/>
      <c r="W214" s="495"/>
      <c r="X214" s="495"/>
      <c r="Y214" s="495"/>
      <c r="Z214" s="495"/>
      <c r="AA214" s="495"/>
      <c r="AB214" s="495"/>
      <c r="AC214" s="495"/>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5"/>
      <c r="AY214" s="495"/>
      <c r="AZ214" s="495"/>
      <c r="BA214" s="495"/>
      <c r="BB214" s="495"/>
      <c r="BC214" s="495"/>
      <c r="BD214" s="495"/>
      <c r="BE214" s="495"/>
      <c r="BF214" s="495"/>
      <c r="BG214" s="495"/>
      <c r="BH214" s="495"/>
      <c r="BI214" s="495"/>
      <c r="BJ214" s="495"/>
      <c r="BK214" s="495"/>
      <c r="BL214" s="495"/>
    </row>
    <row r="215" spans="1:64" ht="12">
      <c r="A215" s="495"/>
      <c r="B215" s="495"/>
      <c r="C215" s="495"/>
      <c r="D215" s="495"/>
      <c r="E215" s="495"/>
      <c r="F215" s="495"/>
      <c r="G215" s="495"/>
      <c r="H215" s="495"/>
      <c r="I215" s="495"/>
      <c r="J215" s="495"/>
      <c r="K215" s="495"/>
      <c r="L215" s="495"/>
      <c r="M215" s="495"/>
      <c r="N215" s="495"/>
      <c r="O215" s="495"/>
      <c r="P215" s="495"/>
      <c r="Q215" s="495"/>
      <c r="R215" s="495"/>
      <c r="S215" s="495"/>
      <c r="T215" s="495"/>
      <c r="U215" s="495"/>
      <c r="V215" s="495"/>
      <c r="W215" s="495"/>
      <c r="X215" s="495"/>
      <c r="Y215" s="495"/>
      <c r="Z215" s="495"/>
      <c r="AA215" s="495"/>
      <c r="AB215" s="495"/>
      <c r="AC215" s="495"/>
      <c r="AD215" s="495"/>
      <c r="AE215" s="495"/>
      <c r="AF215" s="495"/>
      <c r="AG215" s="495"/>
      <c r="AH215" s="495"/>
      <c r="AI215" s="495"/>
      <c r="AJ215" s="495"/>
      <c r="AK215" s="495"/>
      <c r="AL215" s="495"/>
      <c r="AM215" s="495"/>
      <c r="AN215" s="495"/>
      <c r="AO215" s="495"/>
      <c r="AP215" s="495"/>
      <c r="AQ215" s="495"/>
      <c r="AR215" s="495"/>
      <c r="AS215" s="495"/>
      <c r="AT215" s="495"/>
      <c r="AU215" s="495"/>
      <c r="AV215" s="495"/>
      <c r="AW215" s="495"/>
      <c r="AX215" s="495"/>
      <c r="AY215" s="495"/>
      <c r="AZ215" s="495"/>
      <c r="BA215" s="495"/>
      <c r="BB215" s="495"/>
      <c r="BC215" s="495"/>
      <c r="BD215" s="495"/>
      <c r="BE215" s="495"/>
      <c r="BF215" s="495"/>
      <c r="BG215" s="495"/>
      <c r="BH215" s="495"/>
      <c r="BI215" s="495"/>
      <c r="BJ215" s="495"/>
      <c r="BK215" s="495"/>
      <c r="BL215" s="495"/>
    </row>
    <row r="216" spans="1:64" ht="12">
      <c r="A216" s="495"/>
      <c r="B216" s="495"/>
      <c r="C216" s="495"/>
      <c r="D216" s="495"/>
      <c r="E216" s="495"/>
      <c r="F216" s="495"/>
      <c r="G216" s="495"/>
      <c r="H216" s="495"/>
      <c r="I216" s="495"/>
      <c r="J216" s="495"/>
      <c r="K216" s="495"/>
      <c r="L216" s="495"/>
      <c r="M216" s="495"/>
      <c r="N216" s="495"/>
      <c r="O216" s="495"/>
      <c r="P216" s="495"/>
      <c r="Q216" s="495"/>
      <c r="R216" s="495"/>
      <c r="S216" s="495"/>
      <c r="T216" s="495"/>
      <c r="U216" s="495"/>
      <c r="V216" s="495"/>
      <c r="W216" s="495"/>
      <c r="X216" s="495"/>
      <c r="Y216" s="495"/>
      <c r="Z216" s="495"/>
      <c r="AA216" s="495"/>
      <c r="AB216" s="495"/>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5"/>
      <c r="AY216" s="495"/>
      <c r="AZ216" s="495"/>
      <c r="BA216" s="495"/>
      <c r="BB216" s="495"/>
      <c r="BC216" s="495"/>
      <c r="BD216" s="495"/>
      <c r="BE216" s="495"/>
      <c r="BF216" s="495"/>
      <c r="BG216" s="495"/>
      <c r="BH216" s="495"/>
      <c r="BI216" s="495"/>
      <c r="BJ216" s="495"/>
      <c r="BK216" s="495"/>
      <c r="BL216" s="495"/>
    </row>
    <row r="217" spans="1:64" ht="12">
      <c r="A217" s="495"/>
      <c r="B217" s="495"/>
      <c r="C217" s="495"/>
      <c r="D217" s="495"/>
      <c r="E217" s="495"/>
      <c r="F217" s="495"/>
      <c r="G217" s="495"/>
      <c r="H217" s="495"/>
      <c r="I217" s="495"/>
      <c r="J217" s="495"/>
      <c r="K217" s="495"/>
      <c r="L217" s="495"/>
      <c r="M217" s="495"/>
      <c r="N217" s="495"/>
      <c r="O217" s="495"/>
      <c r="P217" s="495"/>
      <c r="Q217" s="495"/>
      <c r="R217" s="495"/>
      <c r="S217" s="495"/>
      <c r="T217" s="495"/>
      <c r="U217" s="495"/>
      <c r="V217" s="495"/>
      <c r="W217" s="495"/>
      <c r="X217" s="495"/>
      <c r="Y217" s="495"/>
      <c r="Z217" s="495"/>
      <c r="AA217" s="495"/>
      <c r="AB217" s="495"/>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5"/>
      <c r="AY217" s="495"/>
      <c r="AZ217" s="495"/>
      <c r="BA217" s="495"/>
      <c r="BB217" s="495"/>
      <c r="BC217" s="495"/>
      <c r="BD217" s="495"/>
      <c r="BE217" s="495"/>
      <c r="BF217" s="495"/>
      <c r="BG217" s="495"/>
      <c r="BH217" s="495"/>
      <c r="BI217" s="495"/>
      <c r="BJ217" s="495"/>
      <c r="BK217" s="495"/>
      <c r="BL217" s="495"/>
    </row>
    <row r="218" spans="1:64" ht="12">
      <c r="A218" s="495"/>
      <c r="B218" s="495"/>
      <c r="C218" s="495"/>
      <c r="D218" s="495"/>
      <c r="E218" s="495"/>
      <c r="F218" s="495"/>
      <c r="G218" s="495"/>
      <c r="H218" s="495"/>
      <c r="I218" s="495"/>
      <c r="J218" s="495"/>
      <c r="K218" s="495"/>
      <c r="L218" s="495"/>
      <c r="M218" s="495"/>
      <c r="N218" s="495"/>
      <c r="O218" s="495"/>
      <c r="P218" s="495"/>
      <c r="Q218" s="495"/>
      <c r="R218" s="495"/>
      <c r="S218" s="495"/>
      <c r="T218" s="495"/>
      <c r="U218" s="495"/>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5"/>
      <c r="AY218" s="495"/>
      <c r="AZ218" s="495"/>
      <c r="BA218" s="495"/>
      <c r="BB218" s="495"/>
      <c r="BC218" s="495"/>
      <c r="BD218" s="495"/>
      <c r="BE218" s="495"/>
      <c r="BF218" s="495"/>
      <c r="BG218" s="495"/>
      <c r="BH218" s="495"/>
      <c r="BI218" s="495"/>
      <c r="BJ218" s="495"/>
      <c r="BK218" s="495"/>
      <c r="BL218" s="495"/>
    </row>
    <row r="219" spans="1:64" ht="12">
      <c r="A219" s="495"/>
      <c r="B219" s="495"/>
      <c r="C219" s="495"/>
      <c r="D219" s="495"/>
      <c r="E219" s="495"/>
      <c r="F219" s="495"/>
      <c r="G219" s="495"/>
      <c r="H219" s="495"/>
      <c r="I219" s="495"/>
      <c r="J219" s="495"/>
      <c r="K219" s="495"/>
      <c r="L219" s="495"/>
      <c r="M219" s="495"/>
      <c r="N219" s="495"/>
      <c r="O219" s="495"/>
      <c r="P219" s="495"/>
      <c r="Q219" s="495"/>
      <c r="R219" s="495"/>
      <c r="S219" s="495"/>
      <c r="T219" s="495"/>
      <c r="U219" s="495"/>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5"/>
      <c r="AY219" s="495"/>
      <c r="AZ219" s="495"/>
      <c r="BA219" s="495"/>
      <c r="BB219" s="495"/>
      <c r="BC219" s="495"/>
      <c r="BD219" s="495"/>
      <c r="BE219" s="495"/>
      <c r="BF219" s="495"/>
      <c r="BG219" s="495"/>
      <c r="BH219" s="495"/>
      <c r="BI219" s="495"/>
      <c r="BJ219" s="495"/>
      <c r="BK219" s="495"/>
      <c r="BL219" s="495"/>
    </row>
    <row r="220" spans="1:64" ht="12">
      <c r="A220" s="495"/>
      <c r="B220" s="495"/>
      <c r="C220" s="495"/>
      <c r="D220" s="495"/>
      <c r="E220" s="495"/>
      <c r="F220" s="495"/>
      <c r="G220" s="495"/>
      <c r="H220" s="495"/>
      <c r="I220" s="495"/>
      <c r="J220" s="495"/>
      <c r="K220" s="495"/>
      <c r="L220" s="495"/>
      <c r="M220" s="495"/>
      <c r="N220" s="495"/>
      <c r="O220" s="495"/>
      <c r="P220" s="495"/>
      <c r="Q220" s="495"/>
      <c r="R220" s="495"/>
      <c r="S220" s="495"/>
      <c r="T220" s="495"/>
      <c r="U220" s="495"/>
      <c r="V220" s="495"/>
      <c r="W220" s="495"/>
      <c r="X220" s="495"/>
      <c r="Y220" s="495"/>
      <c r="Z220" s="495"/>
      <c r="AA220" s="495"/>
      <c r="AB220" s="495"/>
      <c r="AC220" s="495"/>
      <c r="AD220" s="495"/>
      <c r="AE220" s="495"/>
      <c r="AF220" s="495"/>
      <c r="AG220" s="495"/>
      <c r="AH220" s="495"/>
      <c r="AI220" s="495"/>
      <c r="AJ220" s="495"/>
      <c r="AK220" s="495"/>
      <c r="AL220" s="495"/>
      <c r="AM220" s="495"/>
      <c r="AN220" s="495"/>
      <c r="AO220" s="495"/>
      <c r="AP220" s="495"/>
      <c r="AQ220" s="495"/>
      <c r="AR220" s="495"/>
      <c r="AS220" s="495"/>
      <c r="AT220" s="495"/>
      <c r="AU220" s="495"/>
      <c r="AV220" s="495"/>
      <c r="AW220" s="495"/>
      <c r="AX220" s="495"/>
      <c r="AY220" s="495"/>
      <c r="AZ220" s="495"/>
      <c r="BA220" s="495"/>
      <c r="BB220" s="495"/>
      <c r="BC220" s="495"/>
      <c r="BD220" s="495"/>
      <c r="BE220" s="495"/>
      <c r="BF220" s="495"/>
      <c r="BG220" s="495"/>
      <c r="BH220" s="495"/>
      <c r="BI220" s="495"/>
      <c r="BJ220" s="495"/>
      <c r="BK220" s="495"/>
      <c r="BL220" s="495"/>
    </row>
    <row r="221" spans="1:64" ht="12">
      <c r="A221" s="495"/>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5"/>
      <c r="AY221" s="495"/>
      <c r="AZ221" s="495"/>
      <c r="BA221" s="495"/>
      <c r="BB221" s="495"/>
      <c r="BC221" s="495"/>
      <c r="BD221" s="495"/>
      <c r="BE221" s="495"/>
      <c r="BF221" s="495"/>
      <c r="BG221" s="495"/>
      <c r="BH221" s="495"/>
      <c r="BI221" s="495"/>
      <c r="BJ221" s="495"/>
      <c r="BK221" s="495"/>
      <c r="BL221" s="495"/>
    </row>
    <row r="222" spans="1:64" ht="12">
      <c r="A222" s="495"/>
      <c r="B222" s="495"/>
      <c r="C222" s="495"/>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5"/>
      <c r="AD222" s="495"/>
      <c r="AE222" s="495"/>
      <c r="AF222" s="495"/>
      <c r="AG222" s="495"/>
      <c r="AH222" s="495"/>
      <c r="AI222" s="495"/>
      <c r="AJ222" s="495"/>
      <c r="AK222" s="495"/>
      <c r="AL222" s="495"/>
      <c r="AM222" s="495"/>
      <c r="AN222" s="495"/>
      <c r="AO222" s="495"/>
      <c r="AP222" s="495"/>
      <c r="AQ222" s="495"/>
      <c r="AR222" s="495"/>
      <c r="AS222" s="495"/>
      <c r="AT222" s="495"/>
      <c r="AU222" s="495"/>
      <c r="AV222" s="495"/>
      <c r="AW222" s="495"/>
      <c r="AX222" s="495"/>
      <c r="AY222" s="495"/>
      <c r="AZ222" s="495"/>
      <c r="BA222" s="495"/>
      <c r="BB222" s="495"/>
      <c r="BC222" s="495"/>
      <c r="BD222" s="495"/>
      <c r="BE222" s="495"/>
      <c r="BF222" s="495"/>
      <c r="BG222" s="495"/>
      <c r="BH222" s="495"/>
      <c r="BI222" s="495"/>
      <c r="BJ222" s="495"/>
      <c r="BK222" s="495"/>
      <c r="BL222" s="495"/>
    </row>
    <row r="223" spans="1:64" ht="12">
      <c r="A223" s="495"/>
      <c r="B223" s="495"/>
      <c r="C223" s="495"/>
      <c r="D223" s="495"/>
      <c r="E223" s="495"/>
      <c r="F223" s="495"/>
      <c r="G223" s="495"/>
      <c r="H223" s="495"/>
      <c r="I223" s="495"/>
      <c r="J223" s="495"/>
      <c r="K223" s="495"/>
      <c r="L223" s="495"/>
      <c r="M223" s="495"/>
      <c r="N223" s="495"/>
      <c r="O223" s="495"/>
      <c r="P223" s="495"/>
      <c r="Q223" s="495"/>
      <c r="R223" s="495"/>
      <c r="S223" s="495"/>
      <c r="T223" s="495"/>
      <c r="U223" s="495"/>
      <c r="V223" s="495"/>
      <c r="W223" s="495"/>
      <c r="X223" s="495"/>
      <c r="Y223" s="495"/>
      <c r="Z223" s="495"/>
      <c r="AA223" s="495"/>
      <c r="AB223" s="495"/>
      <c r="AC223" s="495"/>
      <c r="AD223" s="495"/>
      <c r="AE223" s="495"/>
      <c r="AF223" s="495"/>
      <c r="AG223" s="495"/>
      <c r="AH223" s="495"/>
      <c r="AI223" s="495"/>
      <c r="AJ223" s="495"/>
      <c r="AK223" s="495"/>
      <c r="AL223" s="495"/>
      <c r="AM223" s="495"/>
      <c r="AN223" s="495"/>
      <c r="AO223" s="495"/>
      <c r="AP223" s="495"/>
      <c r="AQ223" s="495"/>
      <c r="AR223" s="495"/>
      <c r="AS223" s="495"/>
      <c r="AT223" s="495"/>
      <c r="AU223" s="495"/>
      <c r="AV223" s="495"/>
      <c r="AW223" s="495"/>
      <c r="AX223" s="495"/>
      <c r="AY223" s="495"/>
      <c r="AZ223" s="495"/>
      <c r="BA223" s="495"/>
      <c r="BB223" s="495"/>
      <c r="BC223" s="495"/>
      <c r="BD223" s="495"/>
      <c r="BE223" s="495"/>
      <c r="BF223" s="495"/>
      <c r="BG223" s="495"/>
      <c r="BH223" s="495"/>
      <c r="BI223" s="495"/>
      <c r="BJ223" s="495"/>
      <c r="BK223" s="495"/>
      <c r="BL223" s="495"/>
    </row>
    <row r="224" spans="1:64" ht="12">
      <c r="A224" s="495"/>
      <c r="B224" s="495"/>
      <c r="C224" s="495"/>
      <c r="D224" s="495"/>
      <c r="E224" s="495"/>
      <c r="F224" s="495"/>
      <c r="G224" s="495"/>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95"/>
      <c r="AI224" s="495"/>
      <c r="AJ224" s="495"/>
      <c r="AK224" s="495"/>
      <c r="AL224" s="495"/>
      <c r="AM224" s="495"/>
      <c r="AN224" s="495"/>
      <c r="AO224" s="495"/>
      <c r="AP224" s="495"/>
      <c r="AQ224" s="495"/>
      <c r="AR224" s="495"/>
      <c r="AS224" s="495"/>
      <c r="AT224" s="495"/>
      <c r="AU224" s="495"/>
      <c r="AV224" s="495"/>
      <c r="AW224" s="495"/>
      <c r="AX224" s="495"/>
      <c r="AY224" s="495"/>
      <c r="AZ224" s="495"/>
      <c r="BA224" s="495"/>
      <c r="BB224" s="495"/>
      <c r="BC224" s="495"/>
      <c r="BD224" s="495"/>
      <c r="BE224" s="495"/>
      <c r="BF224" s="495"/>
      <c r="BG224" s="495"/>
      <c r="BH224" s="495"/>
      <c r="BI224" s="495"/>
      <c r="BJ224" s="495"/>
      <c r="BK224" s="495"/>
      <c r="BL224" s="495"/>
    </row>
    <row r="225" spans="1:64" ht="12">
      <c r="A225" s="495"/>
      <c r="B225" s="495"/>
      <c r="C225" s="495"/>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5"/>
      <c r="AD225" s="495"/>
      <c r="AE225" s="495"/>
      <c r="AF225" s="495"/>
      <c r="AG225" s="495"/>
      <c r="AH225" s="495"/>
      <c r="AI225" s="495"/>
      <c r="AJ225" s="495"/>
      <c r="AK225" s="495"/>
      <c r="AL225" s="495"/>
      <c r="AM225" s="495"/>
      <c r="AN225" s="495"/>
      <c r="AO225" s="495"/>
      <c r="AP225" s="495"/>
      <c r="AQ225" s="495"/>
      <c r="AR225" s="495"/>
      <c r="AS225" s="495"/>
      <c r="AT225" s="495"/>
      <c r="AU225" s="495"/>
      <c r="AV225" s="495"/>
      <c r="AW225" s="495"/>
      <c r="AX225" s="495"/>
      <c r="AY225" s="495"/>
      <c r="AZ225" s="495"/>
      <c r="BA225" s="495"/>
      <c r="BB225" s="495"/>
      <c r="BC225" s="495"/>
      <c r="BD225" s="495"/>
      <c r="BE225" s="495"/>
      <c r="BF225" s="495"/>
      <c r="BG225" s="495"/>
      <c r="BH225" s="495"/>
      <c r="BI225" s="495"/>
      <c r="BJ225" s="495"/>
      <c r="BK225" s="495"/>
      <c r="BL225" s="495"/>
    </row>
    <row r="226" spans="1:64" ht="12">
      <c r="A226" s="495"/>
      <c r="B226" s="495"/>
      <c r="C226" s="495"/>
      <c r="D226" s="495"/>
      <c r="E226" s="495"/>
      <c r="F226" s="495"/>
      <c r="G226" s="495"/>
      <c r="H226" s="495"/>
      <c r="I226" s="495"/>
      <c r="J226" s="495"/>
      <c r="K226" s="495"/>
      <c r="L226" s="495"/>
      <c r="M226" s="495"/>
      <c r="N226" s="495"/>
      <c r="O226" s="495"/>
      <c r="P226" s="495"/>
      <c r="Q226" s="495"/>
      <c r="R226" s="495"/>
      <c r="S226" s="495"/>
      <c r="T226" s="495"/>
      <c r="U226" s="495"/>
      <c r="V226" s="495"/>
      <c r="W226" s="495"/>
      <c r="X226" s="495"/>
      <c r="Y226" s="495"/>
      <c r="Z226" s="495"/>
      <c r="AA226" s="495"/>
      <c r="AB226" s="495"/>
      <c r="AC226" s="495"/>
      <c r="AD226" s="495"/>
      <c r="AE226" s="495"/>
      <c r="AF226" s="495"/>
      <c r="AG226" s="495"/>
      <c r="AH226" s="495"/>
      <c r="AI226" s="495"/>
      <c r="AJ226" s="495"/>
      <c r="AK226" s="495"/>
      <c r="AL226" s="495"/>
      <c r="AM226" s="495"/>
      <c r="AN226" s="495"/>
      <c r="AO226" s="495"/>
      <c r="AP226" s="495"/>
      <c r="AQ226" s="495"/>
      <c r="AR226" s="495"/>
      <c r="AS226" s="495"/>
      <c r="AT226" s="495"/>
      <c r="AU226" s="495"/>
      <c r="AV226" s="495"/>
      <c r="AW226" s="495"/>
      <c r="AX226" s="495"/>
      <c r="AY226" s="495"/>
      <c r="AZ226" s="495"/>
      <c r="BA226" s="495"/>
      <c r="BB226" s="495"/>
      <c r="BC226" s="495"/>
      <c r="BD226" s="495"/>
      <c r="BE226" s="495"/>
      <c r="BF226" s="495"/>
      <c r="BG226" s="495"/>
      <c r="BH226" s="495"/>
      <c r="BI226" s="495"/>
      <c r="BJ226" s="495"/>
      <c r="BK226" s="495"/>
      <c r="BL226" s="495"/>
    </row>
    <row r="227" spans="1:64" ht="12">
      <c r="A227" s="495"/>
      <c r="B227" s="495"/>
      <c r="C227" s="495"/>
      <c r="D227" s="495"/>
      <c r="E227" s="495"/>
      <c r="F227" s="495"/>
      <c r="G227" s="495"/>
      <c r="H227" s="495"/>
      <c r="I227" s="495"/>
      <c r="J227" s="495"/>
      <c r="K227" s="495"/>
      <c r="L227" s="495"/>
      <c r="M227" s="495"/>
      <c r="N227" s="495"/>
      <c r="O227" s="495"/>
      <c r="P227" s="495"/>
      <c r="Q227" s="495"/>
      <c r="R227" s="495"/>
      <c r="S227" s="495"/>
      <c r="T227" s="495"/>
      <c r="U227" s="495"/>
      <c r="V227" s="495"/>
      <c r="W227" s="495"/>
      <c r="X227" s="495"/>
      <c r="Y227" s="495"/>
      <c r="Z227" s="495"/>
      <c r="AA227" s="495"/>
      <c r="AB227" s="495"/>
      <c r="AC227" s="495"/>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5"/>
      <c r="AY227" s="495"/>
      <c r="AZ227" s="495"/>
      <c r="BA227" s="495"/>
      <c r="BB227" s="495"/>
      <c r="BC227" s="495"/>
      <c r="BD227" s="495"/>
      <c r="BE227" s="495"/>
      <c r="BF227" s="495"/>
      <c r="BG227" s="495"/>
      <c r="BH227" s="495"/>
      <c r="BI227" s="495"/>
      <c r="BJ227" s="495"/>
      <c r="BK227" s="495"/>
      <c r="BL227" s="495"/>
    </row>
    <row r="228" spans="1:64" ht="12">
      <c r="A228" s="495"/>
      <c r="B228" s="495"/>
      <c r="C228" s="495"/>
      <c r="D228" s="495"/>
      <c r="E228" s="495"/>
      <c r="F228" s="495"/>
      <c r="G228" s="495"/>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c r="AP228" s="495"/>
      <c r="AQ228" s="495"/>
      <c r="AR228" s="495"/>
      <c r="AS228" s="495"/>
      <c r="AT228" s="495"/>
      <c r="AU228" s="495"/>
      <c r="AV228" s="495"/>
      <c r="AW228" s="495"/>
      <c r="AX228" s="495"/>
      <c r="AY228" s="495"/>
      <c r="AZ228" s="495"/>
      <c r="BA228" s="495"/>
      <c r="BB228" s="495"/>
      <c r="BC228" s="495"/>
      <c r="BD228" s="495"/>
      <c r="BE228" s="495"/>
      <c r="BF228" s="495"/>
      <c r="BG228" s="495"/>
      <c r="BH228" s="495"/>
      <c r="BI228" s="495"/>
      <c r="BJ228" s="495"/>
      <c r="BK228" s="495"/>
      <c r="BL228" s="495"/>
    </row>
    <row r="229" spans="1:64" ht="12">
      <c r="A229" s="495"/>
      <c r="B229" s="495"/>
      <c r="C229" s="495"/>
      <c r="D229" s="495"/>
      <c r="E229" s="495"/>
      <c r="F229" s="495"/>
      <c r="G229" s="495"/>
      <c r="H229" s="495"/>
      <c r="I229" s="495"/>
      <c r="J229" s="495"/>
      <c r="K229" s="495"/>
      <c r="L229" s="495"/>
      <c r="M229" s="495"/>
      <c r="N229" s="495"/>
      <c r="O229" s="495"/>
      <c r="P229" s="495"/>
      <c r="Q229" s="495"/>
      <c r="R229" s="495"/>
      <c r="S229" s="495"/>
      <c r="T229" s="495"/>
      <c r="U229" s="495"/>
      <c r="V229" s="495"/>
      <c r="W229" s="495"/>
      <c r="X229" s="495"/>
      <c r="Y229" s="495"/>
      <c r="Z229" s="495"/>
      <c r="AA229" s="495"/>
      <c r="AB229" s="495"/>
      <c r="AC229" s="495"/>
      <c r="AD229" s="495"/>
      <c r="AE229" s="495"/>
      <c r="AF229" s="495"/>
      <c r="AG229" s="495"/>
      <c r="AH229" s="495"/>
      <c r="AI229" s="495"/>
      <c r="AJ229" s="495"/>
      <c r="AK229" s="495"/>
      <c r="AL229" s="495"/>
      <c r="AM229" s="495"/>
      <c r="AN229" s="495"/>
      <c r="AO229" s="495"/>
      <c r="AP229" s="495"/>
      <c r="AQ229" s="495"/>
      <c r="AR229" s="495"/>
      <c r="AS229" s="495"/>
      <c r="AT229" s="495"/>
      <c r="AU229" s="495"/>
      <c r="AV229" s="495"/>
      <c r="AW229" s="495"/>
      <c r="AX229" s="495"/>
      <c r="AY229" s="495"/>
      <c r="AZ229" s="495"/>
      <c r="BA229" s="495"/>
      <c r="BB229" s="495"/>
      <c r="BC229" s="495"/>
      <c r="BD229" s="495"/>
      <c r="BE229" s="495"/>
      <c r="BF229" s="495"/>
      <c r="BG229" s="495"/>
      <c r="BH229" s="495"/>
      <c r="BI229" s="495"/>
      <c r="BJ229" s="495"/>
      <c r="BK229" s="495"/>
      <c r="BL229" s="495"/>
    </row>
    <row r="230" spans="1:64" ht="12">
      <c r="A230" s="495"/>
      <c r="B230" s="495"/>
      <c r="C230" s="495"/>
      <c r="D230" s="495"/>
      <c r="E230" s="495"/>
      <c r="F230" s="495"/>
      <c r="G230" s="495"/>
      <c r="H230" s="495"/>
      <c r="I230" s="495"/>
      <c r="J230" s="495"/>
      <c r="K230" s="495"/>
      <c r="L230" s="495"/>
      <c r="M230" s="495"/>
      <c r="N230" s="495"/>
      <c r="O230" s="495"/>
      <c r="P230" s="495"/>
      <c r="Q230" s="495"/>
      <c r="R230" s="495"/>
      <c r="S230" s="495"/>
      <c r="T230" s="495"/>
      <c r="U230" s="495"/>
      <c r="V230" s="495"/>
      <c r="W230" s="495"/>
      <c r="X230" s="495"/>
      <c r="Y230" s="495"/>
      <c r="Z230" s="495"/>
      <c r="AA230" s="495"/>
      <c r="AB230" s="495"/>
      <c r="AC230" s="495"/>
      <c r="AD230" s="495"/>
      <c r="AE230" s="495"/>
      <c r="AF230" s="495"/>
      <c r="AG230" s="495"/>
      <c r="AH230" s="495"/>
      <c r="AI230" s="495"/>
      <c r="AJ230" s="495"/>
      <c r="AK230" s="495"/>
      <c r="AL230" s="495"/>
      <c r="AM230" s="495"/>
      <c r="AN230" s="495"/>
      <c r="AO230" s="495"/>
      <c r="AP230" s="495"/>
      <c r="AQ230" s="495"/>
      <c r="AR230" s="495"/>
      <c r="AS230" s="495"/>
      <c r="AT230" s="495"/>
      <c r="AU230" s="495"/>
      <c r="AV230" s="495"/>
      <c r="AW230" s="495"/>
      <c r="AX230" s="495"/>
      <c r="AY230" s="495"/>
      <c r="AZ230" s="495"/>
      <c r="BA230" s="495"/>
      <c r="BB230" s="495"/>
      <c r="BC230" s="495"/>
      <c r="BD230" s="495"/>
      <c r="BE230" s="495"/>
      <c r="BF230" s="495"/>
      <c r="BG230" s="495"/>
      <c r="BH230" s="495"/>
      <c r="BI230" s="495"/>
      <c r="BJ230" s="495"/>
      <c r="BK230" s="495"/>
      <c r="BL230" s="495"/>
    </row>
    <row r="231" spans="1:64" ht="12">
      <c r="A231" s="495"/>
      <c r="B231" s="495"/>
      <c r="C231" s="495"/>
      <c r="D231" s="495"/>
      <c r="E231" s="495"/>
      <c r="F231" s="495"/>
      <c r="G231" s="495"/>
      <c r="H231" s="495"/>
      <c r="I231" s="495"/>
      <c r="J231" s="495"/>
      <c r="K231" s="495"/>
      <c r="L231" s="495"/>
      <c r="M231" s="495"/>
      <c r="N231" s="495"/>
      <c r="O231" s="495"/>
      <c r="P231" s="495"/>
      <c r="Q231" s="495"/>
      <c r="R231" s="495"/>
      <c r="S231" s="495"/>
      <c r="T231" s="495"/>
      <c r="U231" s="495"/>
      <c r="V231" s="495"/>
      <c r="W231" s="495"/>
      <c r="X231" s="495"/>
      <c r="Y231" s="495"/>
      <c r="Z231" s="495"/>
      <c r="AA231" s="495"/>
      <c r="AB231" s="495"/>
      <c r="AC231" s="495"/>
      <c r="AD231" s="495"/>
      <c r="AE231" s="495"/>
      <c r="AF231" s="495"/>
      <c r="AG231" s="495"/>
      <c r="AH231" s="495"/>
      <c r="AI231" s="495"/>
      <c r="AJ231" s="495"/>
      <c r="AK231" s="495"/>
      <c r="AL231" s="495"/>
      <c r="AM231" s="495"/>
      <c r="AN231" s="495"/>
      <c r="AO231" s="495"/>
      <c r="AP231" s="495"/>
      <c r="AQ231" s="495"/>
      <c r="AR231" s="495"/>
      <c r="AS231" s="495"/>
      <c r="AT231" s="495"/>
      <c r="AU231" s="495"/>
      <c r="AV231" s="495"/>
      <c r="AW231" s="495"/>
      <c r="AX231" s="495"/>
      <c r="AY231" s="495"/>
      <c r="AZ231" s="495"/>
      <c r="BA231" s="495"/>
      <c r="BB231" s="495"/>
      <c r="BC231" s="495"/>
      <c r="BD231" s="495"/>
      <c r="BE231" s="495"/>
      <c r="BF231" s="495"/>
      <c r="BG231" s="495"/>
      <c r="BH231" s="495"/>
      <c r="BI231" s="495"/>
      <c r="BJ231" s="495"/>
      <c r="BK231" s="495"/>
      <c r="BL231" s="495"/>
    </row>
    <row r="232" spans="1:64" ht="12">
      <c r="A232" s="495"/>
      <c r="B232" s="495"/>
      <c r="C232" s="495"/>
      <c r="D232" s="495"/>
      <c r="E232" s="495"/>
      <c r="F232" s="495"/>
      <c r="G232" s="495"/>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c r="AK232" s="495"/>
      <c r="AL232" s="495"/>
      <c r="AM232" s="495"/>
      <c r="AN232" s="495"/>
      <c r="AO232" s="495"/>
      <c r="AP232" s="495"/>
      <c r="AQ232" s="495"/>
      <c r="AR232" s="495"/>
      <c r="AS232" s="495"/>
      <c r="AT232" s="495"/>
      <c r="AU232" s="495"/>
      <c r="AV232" s="495"/>
      <c r="AW232" s="495"/>
      <c r="AX232" s="495"/>
      <c r="AY232" s="495"/>
      <c r="AZ232" s="495"/>
      <c r="BA232" s="495"/>
      <c r="BB232" s="495"/>
      <c r="BC232" s="495"/>
      <c r="BD232" s="495"/>
      <c r="BE232" s="495"/>
      <c r="BF232" s="495"/>
      <c r="BG232" s="495"/>
      <c r="BH232" s="495"/>
      <c r="BI232" s="495"/>
      <c r="BJ232" s="495"/>
      <c r="BK232" s="495"/>
      <c r="BL232" s="495"/>
    </row>
    <row r="233" spans="1:64" ht="12">
      <c r="A233" s="495"/>
      <c r="B233" s="495"/>
      <c r="C233" s="495"/>
      <c r="D233" s="495"/>
      <c r="E233" s="495"/>
      <c r="F233" s="495"/>
      <c r="G233" s="495"/>
      <c r="H233" s="495"/>
      <c r="I233" s="495"/>
      <c r="J233" s="495"/>
      <c r="K233" s="495"/>
      <c r="L233" s="495"/>
      <c r="M233" s="495"/>
      <c r="N233" s="495"/>
      <c r="O233" s="495"/>
      <c r="P233" s="495"/>
      <c r="Q233" s="495"/>
      <c r="R233" s="495"/>
      <c r="S233" s="495"/>
      <c r="T233" s="495"/>
      <c r="U233" s="495"/>
      <c r="V233" s="495"/>
      <c r="W233" s="495"/>
      <c r="X233" s="495"/>
      <c r="Y233" s="495"/>
      <c r="Z233" s="495"/>
      <c r="AA233" s="495"/>
      <c r="AB233" s="495"/>
      <c r="AC233" s="495"/>
      <c r="AD233" s="495"/>
      <c r="AE233" s="495"/>
      <c r="AF233" s="495"/>
      <c r="AG233" s="495"/>
      <c r="AH233" s="495"/>
      <c r="AI233" s="495"/>
      <c r="AJ233" s="495"/>
      <c r="AK233" s="495"/>
      <c r="AL233" s="495"/>
      <c r="AM233" s="495"/>
      <c r="AN233" s="495"/>
      <c r="AO233" s="495"/>
      <c r="AP233" s="495"/>
      <c r="AQ233" s="495"/>
      <c r="AR233" s="495"/>
      <c r="AS233" s="495"/>
      <c r="AT233" s="495"/>
      <c r="AU233" s="495"/>
      <c r="AV233" s="495"/>
      <c r="AW233" s="495"/>
      <c r="AX233" s="495"/>
      <c r="AY233" s="495"/>
      <c r="AZ233" s="495"/>
      <c r="BA233" s="495"/>
      <c r="BB233" s="495"/>
      <c r="BC233" s="495"/>
      <c r="BD233" s="495"/>
      <c r="BE233" s="495"/>
      <c r="BF233" s="495"/>
      <c r="BG233" s="495"/>
      <c r="BH233" s="495"/>
      <c r="BI233" s="495"/>
      <c r="BJ233" s="495"/>
      <c r="BK233" s="495"/>
      <c r="BL233" s="495"/>
    </row>
    <row r="234" spans="1:64" ht="12">
      <c r="A234" s="495"/>
      <c r="B234" s="495"/>
      <c r="C234" s="495"/>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5"/>
      <c r="AD234" s="495"/>
      <c r="AE234" s="495"/>
      <c r="AF234" s="495"/>
      <c r="AG234" s="495"/>
      <c r="AH234" s="495"/>
      <c r="AI234" s="495"/>
      <c r="AJ234" s="495"/>
      <c r="AK234" s="495"/>
      <c r="AL234" s="495"/>
      <c r="AM234" s="495"/>
      <c r="AN234" s="495"/>
      <c r="AO234" s="495"/>
      <c r="AP234" s="495"/>
      <c r="AQ234" s="495"/>
      <c r="AR234" s="495"/>
      <c r="AS234" s="495"/>
      <c r="AT234" s="495"/>
      <c r="AU234" s="495"/>
      <c r="AV234" s="495"/>
      <c r="AW234" s="495"/>
      <c r="AX234" s="495"/>
      <c r="AY234" s="495"/>
      <c r="AZ234" s="495"/>
      <c r="BA234" s="495"/>
      <c r="BB234" s="495"/>
      <c r="BC234" s="495"/>
      <c r="BD234" s="495"/>
      <c r="BE234" s="495"/>
      <c r="BF234" s="495"/>
      <c r="BG234" s="495"/>
      <c r="BH234" s="495"/>
      <c r="BI234" s="495"/>
      <c r="BJ234" s="495"/>
      <c r="BK234" s="495"/>
      <c r="BL234" s="495"/>
    </row>
    <row r="235" spans="1:64" ht="12">
      <c r="A235" s="495"/>
      <c r="B235" s="495"/>
      <c r="C235" s="495"/>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5"/>
      <c r="AD235" s="495"/>
      <c r="AE235" s="495"/>
      <c r="AF235" s="495"/>
      <c r="AG235" s="495"/>
      <c r="AH235" s="495"/>
      <c r="AI235" s="495"/>
      <c r="AJ235" s="495"/>
      <c r="AK235" s="495"/>
      <c r="AL235" s="495"/>
      <c r="AM235" s="495"/>
      <c r="AN235" s="495"/>
      <c r="AO235" s="495"/>
      <c r="AP235" s="495"/>
      <c r="AQ235" s="495"/>
      <c r="AR235" s="495"/>
      <c r="AS235" s="495"/>
      <c r="AT235" s="495"/>
      <c r="AU235" s="495"/>
      <c r="AV235" s="495"/>
      <c r="AW235" s="495"/>
      <c r="AX235" s="495"/>
      <c r="AY235" s="495"/>
      <c r="AZ235" s="495"/>
      <c r="BA235" s="495"/>
      <c r="BB235" s="495"/>
      <c r="BC235" s="495"/>
      <c r="BD235" s="495"/>
      <c r="BE235" s="495"/>
      <c r="BF235" s="495"/>
      <c r="BG235" s="495"/>
      <c r="BH235" s="495"/>
      <c r="BI235" s="495"/>
      <c r="BJ235" s="495"/>
      <c r="BK235" s="495"/>
      <c r="BL235" s="495"/>
    </row>
    <row r="236" spans="1:64" ht="12">
      <c r="A236" s="495"/>
      <c r="B236" s="495"/>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c r="AP236" s="495"/>
      <c r="AQ236" s="495"/>
      <c r="AR236" s="495"/>
      <c r="AS236" s="495"/>
      <c r="AT236" s="495"/>
      <c r="AU236" s="495"/>
      <c r="AV236" s="495"/>
      <c r="AW236" s="495"/>
      <c r="AX236" s="495"/>
      <c r="AY236" s="495"/>
      <c r="AZ236" s="495"/>
      <c r="BA236" s="495"/>
      <c r="BB236" s="495"/>
      <c r="BC236" s="495"/>
      <c r="BD236" s="495"/>
      <c r="BE236" s="495"/>
      <c r="BF236" s="495"/>
      <c r="BG236" s="495"/>
      <c r="BH236" s="495"/>
      <c r="BI236" s="495"/>
      <c r="BJ236" s="495"/>
      <c r="BK236" s="495"/>
      <c r="BL236" s="495"/>
    </row>
    <row r="237" spans="1:64" ht="12">
      <c r="A237" s="495"/>
      <c r="B237" s="495"/>
      <c r="C237" s="495"/>
      <c r="D237" s="495"/>
      <c r="E237" s="495"/>
      <c r="F237" s="495"/>
      <c r="G237" s="495"/>
      <c r="H237" s="495"/>
      <c r="I237" s="495"/>
      <c r="J237" s="495"/>
      <c r="K237" s="495"/>
      <c r="L237" s="495"/>
      <c r="M237" s="495"/>
      <c r="N237" s="495"/>
      <c r="O237" s="495"/>
      <c r="P237" s="495"/>
      <c r="Q237" s="495"/>
      <c r="R237" s="495"/>
      <c r="S237" s="495"/>
      <c r="T237" s="495"/>
      <c r="U237" s="495"/>
      <c r="V237" s="495"/>
      <c r="W237" s="495"/>
      <c r="X237" s="495"/>
      <c r="Y237" s="495"/>
      <c r="Z237" s="495"/>
      <c r="AA237" s="495"/>
      <c r="AB237" s="495"/>
      <c r="AC237" s="495"/>
      <c r="AD237" s="495"/>
      <c r="AE237" s="495"/>
      <c r="AF237" s="495"/>
      <c r="AG237" s="495"/>
      <c r="AH237" s="495"/>
      <c r="AI237" s="495"/>
      <c r="AJ237" s="495"/>
      <c r="AK237" s="495"/>
      <c r="AL237" s="495"/>
      <c r="AM237" s="495"/>
      <c r="AN237" s="495"/>
      <c r="AO237" s="495"/>
      <c r="AP237" s="495"/>
      <c r="AQ237" s="495"/>
      <c r="AR237" s="495"/>
      <c r="AS237" s="495"/>
      <c r="AT237" s="495"/>
      <c r="AU237" s="495"/>
      <c r="AV237" s="495"/>
      <c r="AW237" s="495"/>
      <c r="AX237" s="495"/>
      <c r="AY237" s="495"/>
      <c r="AZ237" s="495"/>
      <c r="BA237" s="495"/>
      <c r="BB237" s="495"/>
      <c r="BC237" s="495"/>
      <c r="BD237" s="495"/>
      <c r="BE237" s="495"/>
      <c r="BF237" s="495"/>
      <c r="BG237" s="495"/>
      <c r="BH237" s="495"/>
      <c r="BI237" s="495"/>
      <c r="BJ237" s="495"/>
      <c r="BK237" s="495"/>
      <c r="BL237" s="495"/>
    </row>
    <row r="238" spans="1:64" ht="12">
      <c r="A238" s="495"/>
      <c r="B238" s="495"/>
      <c r="C238" s="495"/>
      <c r="D238" s="495"/>
      <c r="E238" s="495"/>
      <c r="F238" s="495"/>
      <c r="G238" s="495"/>
      <c r="H238" s="495"/>
      <c r="I238" s="495"/>
      <c r="J238" s="495"/>
      <c r="K238" s="495"/>
      <c r="L238" s="495"/>
      <c r="M238" s="495"/>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495"/>
      <c r="AK238" s="495"/>
      <c r="AL238" s="495"/>
      <c r="AM238" s="495"/>
      <c r="AN238" s="495"/>
      <c r="AO238" s="495"/>
      <c r="AP238" s="495"/>
      <c r="AQ238" s="495"/>
      <c r="AR238" s="495"/>
      <c r="AS238" s="495"/>
      <c r="AT238" s="495"/>
      <c r="AU238" s="495"/>
      <c r="AV238" s="495"/>
      <c r="AW238" s="495"/>
      <c r="AX238" s="495"/>
      <c r="AY238" s="495"/>
      <c r="AZ238" s="495"/>
      <c r="BA238" s="495"/>
      <c r="BB238" s="495"/>
      <c r="BC238" s="495"/>
      <c r="BD238" s="495"/>
      <c r="BE238" s="495"/>
      <c r="BF238" s="495"/>
      <c r="BG238" s="495"/>
      <c r="BH238" s="495"/>
      <c r="BI238" s="495"/>
      <c r="BJ238" s="495"/>
      <c r="BK238" s="495"/>
      <c r="BL238" s="495"/>
    </row>
    <row r="239" spans="1:64" ht="12">
      <c r="A239" s="495"/>
      <c r="B239" s="495"/>
      <c r="C239" s="495"/>
      <c r="D239" s="495"/>
      <c r="E239" s="495"/>
      <c r="F239" s="495"/>
      <c r="G239" s="495"/>
      <c r="H239" s="495"/>
      <c r="I239" s="495"/>
      <c r="J239" s="495"/>
      <c r="K239" s="495"/>
      <c r="L239" s="495"/>
      <c r="M239" s="495"/>
      <c r="N239" s="495"/>
      <c r="O239" s="495"/>
      <c r="P239" s="495"/>
      <c r="Q239" s="495"/>
      <c r="R239" s="495"/>
      <c r="S239" s="495"/>
      <c r="T239" s="495"/>
      <c r="U239" s="495"/>
      <c r="V239" s="495"/>
      <c r="W239" s="495"/>
      <c r="X239" s="495"/>
      <c r="Y239" s="495"/>
      <c r="Z239" s="495"/>
      <c r="AA239" s="495"/>
      <c r="AB239" s="495"/>
      <c r="AC239" s="495"/>
      <c r="AD239" s="495"/>
      <c r="AE239" s="495"/>
      <c r="AF239" s="495"/>
      <c r="AG239" s="495"/>
      <c r="AH239" s="495"/>
      <c r="AI239" s="495"/>
      <c r="AJ239" s="495"/>
      <c r="AK239" s="495"/>
      <c r="AL239" s="495"/>
      <c r="AM239" s="495"/>
      <c r="AN239" s="495"/>
      <c r="AO239" s="495"/>
      <c r="AP239" s="495"/>
      <c r="AQ239" s="495"/>
      <c r="AR239" s="495"/>
      <c r="AS239" s="495"/>
      <c r="AT239" s="495"/>
      <c r="AU239" s="495"/>
      <c r="AV239" s="495"/>
      <c r="AW239" s="495"/>
      <c r="AX239" s="495"/>
      <c r="AY239" s="495"/>
      <c r="AZ239" s="495"/>
      <c r="BA239" s="495"/>
      <c r="BB239" s="495"/>
      <c r="BC239" s="495"/>
      <c r="BD239" s="495"/>
      <c r="BE239" s="495"/>
      <c r="BF239" s="495"/>
      <c r="BG239" s="495"/>
      <c r="BH239" s="495"/>
      <c r="BI239" s="495"/>
      <c r="BJ239" s="495"/>
      <c r="BK239" s="495"/>
      <c r="BL239" s="495"/>
    </row>
    <row r="240" spans="1:64" ht="12">
      <c r="A240" s="495"/>
      <c r="B240" s="495"/>
      <c r="C240" s="495"/>
      <c r="D240" s="495"/>
      <c r="E240" s="495"/>
      <c r="F240" s="495"/>
      <c r="G240" s="495"/>
      <c r="H240" s="495"/>
      <c r="I240" s="495"/>
      <c r="J240" s="495"/>
      <c r="K240" s="495"/>
      <c r="L240" s="495"/>
      <c r="M240" s="495"/>
      <c r="N240" s="495"/>
      <c r="O240" s="495"/>
      <c r="P240" s="495"/>
      <c r="Q240" s="495"/>
      <c r="R240" s="495"/>
      <c r="S240" s="495"/>
      <c r="T240" s="495"/>
      <c r="U240" s="495"/>
      <c r="V240" s="495"/>
      <c r="W240" s="495"/>
      <c r="X240" s="495"/>
      <c r="Y240" s="495"/>
      <c r="Z240" s="495"/>
      <c r="AA240" s="495"/>
      <c r="AB240" s="495"/>
      <c r="AC240" s="495"/>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5"/>
      <c r="AY240" s="495"/>
      <c r="AZ240" s="495"/>
      <c r="BA240" s="495"/>
      <c r="BB240" s="495"/>
      <c r="BC240" s="495"/>
      <c r="BD240" s="495"/>
      <c r="BE240" s="495"/>
      <c r="BF240" s="495"/>
      <c r="BG240" s="495"/>
      <c r="BH240" s="495"/>
      <c r="BI240" s="495"/>
      <c r="BJ240" s="495"/>
      <c r="BK240" s="495"/>
      <c r="BL240" s="495"/>
    </row>
    <row r="241" spans="1:64" ht="12">
      <c r="A241" s="495"/>
      <c r="B241" s="495"/>
      <c r="C241" s="495"/>
      <c r="D241" s="495"/>
      <c r="E241" s="495"/>
      <c r="F241" s="495"/>
      <c r="G241" s="495"/>
      <c r="H241" s="495"/>
      <c r="I241" s="495"/>
      <c r="J241" s="495"/>
      <c r="K241" s="495"/>
      <c r="L241" s="495"/>
      <c r="M241" s="495"/>
      <c r="N241" s="495"/>
      <c r="O241" s="495"/>
      <c r="P241" s="495"/>
      <c r="Q241" s="495"/>
      <c r="R241" s="495"/>
      <c r="S241" s="495"/>
      <c r="T241" s="495"/>
      <c r="U241" s="495"/>
      <c r="V241" s="495"/>
      <c r="W241" s="495"/>
      <c r="X241" s="495"/>
      <c r="Y241" s="495"/>
      <c r="Z241" s="495"/>
      <c r="AA241" s="495"/>
      <c r="AB241" s="495"/>
      <c r="AC241" s="495"/>
      <c r="AD241" s="495"/>
      <c r="AE241" s="495"/>
      <c r="AF241" s="495"/>
      <c r="AG241" s="495"/>
      <c r="AH241" s="495"/>
      <c r="AI241" s="495"/>
      <c r="AJ241" s="495"/>
      <c r="AK241" s="495"/>
      <c r="AL241" s="495"/>
      <c r="AM241" s="495"/>
      <c r="AN241" s="495"/>
      <c r="AO241" s="495"/>
      <c r="AP241" s="495"/>
      <c r="AQ241" s="495"/>
      <c r="AR241" s="495"/>
      <c r="AS241" s="495"/>
      <c r="AT241" s="495"/>
      <c r="AU241" s="495"/>
      <c r="AV241" s="495"/>
      <c r="AW241" s="495"/>
      <c r="AX241" s="495"/>
      <c r="AY241" s="495"/>
      <c r="AZ241" s="495"/>
      <c r="BA241" s="495"/>
      <c r="BB241" s="495"/>
      <c r="BC241" s="495"/>
      <c r="BD241" s="495"/>
      <c r="BE241" s="495"/>
      <c r="BF241" s="495"/>
      <c r="BG241" s="495"/>
      <c r="BH241" s="495"/>
      <c r="BI241" s="495"/>
      <c r="BJ241" s="495"/>
      <c r="BK241" s="495"/>
      <c r="BL241" s="495"/>
    </row>
    <row r="242" spans="1:64" ht="12">
      <c r="A242" s="495"/>
      <c r="B242" s="495"/>
      <c r="C242" s="495"/>
      <c r="D242" s="495"/>
      <c r="E242" s="495"/>
      <c r="F242" s="495"/>
      <c r="G242" s="495"/>
      <c r="H242" s="495"/>
      <c r="I242" s="495"/>
      <c r="J242" s="495"/>
      <c r="K242" s="495"/>
      <c r="L242" s="495"/>
      <c r="M242" s="495"/>
      <c r="N242" s="495"/>
      <c r="O242" s="495"/>
      <c r="P242" s="495"/>
      <c r="Q242" s="495"/>
      <c r="R242" s="495"/>
      <c r="S242" s="495"/>
      <c r="T242" s="495"/>
      <c r="U242" s="495"/>
      <c r="V242" s="495"/>
      <c r="W242" s="495"/>
      <c r="X242" s="495"/>
      <c r="Y242" s="495"/>
      <c r="Z242" s="495"/>
      <c r="AA242" s="495"/>
      <c r="AB242" s="495"/>
      <c r="AC242" s="495"/>
      <c r="AD242" s="495"/>
      <c r="AE242" s="495"/>
      <c r="AF242" s="495"/>
      <c r="AG242" s="495"/>
      <c r="AH242" s="495"/>
      <c r="AI242" s="495"/>
      <c r="AJ242" s="495"/>
      <c r="AK242" s="495"/>
      <c r="AL242" s="495"/>
      <c r="AM242" s="495"/>
      <c r="AN242" s="495"/>
      <c r="AO242" s="495"/>
      <c r="AP242" s="495"/>
      <c r="AQ242" s="495"/>
      <c r="AR242" s="495"/>
      <c r="AS242" s="495"/>
      <c r="AT242" s="495"/>
      <c r="AU242" s="495"/>
      <c r="AV242" s="495"/>
      <c r="AW242" s="495"/>
      <c r="AX242" s="495"/>
      <c r="AY242" s="495"/>
      <c r="AZ242" s="495"/>
      <c r="BA242" s="495"/>
      <c r="BB242" s="495"/>
      <c r="BC242" s="495"/>
      <c r="BD242" s="495"/>
      <c r="BE242" s="495"/>
      <c r="BF242" s="495"/>
      <c r="BG242" s="495"/>
      <c r="BH242" s="495"/>
      <c r="BI242" s="495"/>
      <c r="BJ242" s="495"/>
      <c r="BK242" s="495"/>
      <c r="BL242" s="495"/>
    </row>
    <row r="243" spans="1:64" ht="12">
      <c r="A243" s="495"/>
      <c r="B243" s="495"/>
      <c r="C243" s="495"/>
      <c r="D243" s="495"/>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5"/>
      <c r="AU243" s="495"/>
      <c r="AV243" s="495"/>
      <c r="AW243" s="495"/>
      <c r="AX243" s="495"/>
      <c r="AY243" s="495"/>
      <c r="AZ243" s="495"/>
      <c r="BA243" s="495"/>
      <c r="BB243" s="495"/>
      <c r="BC243" s="495"/>
      <c r="BD243" s="495"/>
      <c r="BE243" s="495"/>
      <c r="BF243" s="495"/>
      <c r="BG243" s="495"/>
      <c r="BH243" s="495"/>
      <c r="BI243" s="495"/>
      <c r="BJ243" s="495"/>
      <c r="BK243" s="495"/>
      <c r="BL243" s="495"/>
    </row>
    <row r="244" spans="1:64" ht="12">
      <c r="A244" s="495"/>
      <c r="B244" s="495"/>
      <c r="C244" s="495"/>
      <c r="D244" s="495"/>
      <c r="E244" s="495"/>
      <c r="F244" s="495"/>
      <c r="G244" s="495"/>
      <c r="H244" s="495"/>
      <c r="I244" s="495"/>
      <c r="J244" s="495"/>
      <c r="K244" s="495"/>
      <c r="L244" s="495"/>
      <c r="M244" s="495"/>
      <c r="N244" s="495"/>
      <c r="O244" s="495"/>
      <c r="P244" s="495"/>
      <c r="Q244" s="495"/>
      <c r="R244" s="495"/>
      <c r="S244" s="495"/>
      <c r="T244" s="495"/>
      <c r="U244" s="495"/>
      <c r="V244" s="495"/>
      <c r="W244" s="495"/>
      <c r="X244" s="495"/>
      <c r="Y244" s="495"/>
      <c r="Z244" s="495"/>
      <c r="AA244" s="495"/>
      <c r="AB244" s="495"/>
      <c r="AC244" s="495"/>
      <c r="AD244" s="495"/>
      <c r="AE244" s="495"/>
      <c r="AF244" s="495"/>
      <c r="AG244" s="495"/>
      <c r="AH244" s="495"/>
      <c r="AI244" s="495"/>
      <c r="AJ244" s="495"/>
      <c r="AK244" s="495"/>
      <c r="AL244" s="495"/>
      <c r="AM244" s="495"/>
      <c r="AN244" s="495"/>
      <c r="AO244" s="495"/>
      <c r="AP244" s="495"/>
      <c r="AQ244" s="495"/>
      <c r="AR244" s="495"/>
      <c r="AS244" s="495"/>
      <c r="AT244" s="495"/>
      <c r="AU244" s="495"/>
      <c r="AV244" s="495"/>
      <c r="AW244" s="495"/>
      <c r="AX244" s="495"/>
      <c r="AY244" s="495"/>
      <c r="AZ244" s="495"/>
      <c r="BA244" s="495"/>
      <c r="BB244" s="495"/>
      <c r="BC244" s="495"/>
      <c r="BD244" s="495"/>
      <c r="BE244" s="495"/>
      <c r="BF244" s="495"/>
      <c r="BG244" s="495"/>
      <c r="BH244" s="495"/>
      <c r="BI244" s="495"/>
      <c r="BJ244" s="495"/>
      <c r="BK244" s="495"/>
      <c r="BL244" s="495"/>
    </row>
    <row r="245" spans="1:64" ht="12">
      <c r="A245" s="495"/>
      <c r="B245" s="495"/>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495"/>
      <c r="AD245" s="495"/>
      <c r="AE245" s="495"/>
      <c r="AF245" s="495"/>
      <c r="AG245" s="495"/>
      <c r="AH245" s="495"/>
      <c r="AI245" s="495"/>
      <c r="AJ245" s="495"/>
      <c r="AK245" s="495"/>
      <c r="AL245" s="495"/>
      <c r="AM245" s="495"/>
      <c r="AN245" s="495"/>
      <c r="AO245" s="495"/>
      <c r="AP245" s="495"/>
      <c r="AQ245" s="495"/>
      <c r="AR245" s="495"/>
      <c r="AS245" s="495"/>
      <c r="AT245" s="495"/>
      <c r="AU245" s="495"/>
      <c r="AV245" s="495"/>
      <c r="AW245" s="495"/>
      <c r="AX245" s="495"/>
      <c r="AY245" s="495"/>
      <c r="AZ245" s="495"/>
      <c r="BA245" s="495"/>
      <c r="BB245" s="495"/>
      <c r="BC245" s="495"/>
      <c r="BD245" s="495"/>
      <c r="BE245" s="495"/>
      <c r="BF245" s="495"/>
      <c r="BG245" s="495"/>
      <c r="BH245" s="495"/>
      <c r="BI245" s="495"/>
      <c r="BJ245" s="495"/>
      <c r="BK245" s="495"/>
      <c r="BL245" s="495"/>
    </row>
    <row r="246" spans="1:64" ht="12">
      <c r="A246" s="495"/>
      <c r="B246" s="495"/>
      <c r="C246" s="495"/>
      <c r="D246" s="495"/>
      <c r="E246" s="495"/>
      <c r="F246" s="495"/>
      <c r="G246" s="495"/>
      <c r="H246" s="495"/>
      <c r="I246" s="495"/>
      <c r="J246" s="495"/>
      <c r="K246" s="495"/>
      <c r="L246" s="495"/>
      <c r="M246" s="495"/>
      <c r="N246" s="495"/>
      <c r="O246" s="495"/>
      <c r="P246" s="495"/>
      <c r="Q246" s="495"/>
      <c r="R246" s="495"/>
      <c r="S246" s="495"/>
      <c r="T246" s="495"/>
      <c r="U246" s="495"/>
      <c r="V246" s="495"/>
      <c r="W246" s="495"/>
      <c r="X246" s="495"/>
      <c r="Y246" s="495"/>
      <c r="Z246" s="495"/>
      <c r="AA246" s="495"/>
      <c r="AB246" s="495"/>
      <c r="AC246" s="495"/>
      <c r="AD246" s="495"/>
      <c r="AE246" s="495"/>
      <c r="AF246" s="495"/>
      <c r="AG246" s="495"/>
      <c r="AH246" s="495"/>
      <c r="AI246" s="495"/>
      <c r="AJ246" s="495"/>
      <c r="AK246" s="495"/>
      <c r="AL246" s="495"/>
      <c r="AM246" s="495"/>
      <c r="AN246" s="495"/>
      <c r="AO246" s="495"/>
      <c r="AP246" s="495"/>
      <c r="AQ246" s="495"/>
      <c r="AR246" s="495"/>
      <c r="AS246" s="495"/>
      <c r="AT246" s="495"/>
      <c r="AU246" s="495"/>
      <c r="AV246" s="495"/>
      <c r="AW246" s="495"/>
      <c r="AX246" s="495"/>
      <c r="AY246" s="495"/>
      <c r="AZ246" s="495"/>
      <c r="BA246" s="495"/>
      <c r="BB246" s="495"/>
      <c r="BC246" s="495"/>
      <c r="BD246" s="495"/>
      <c r="BE246" s="495"/>
      <c r="BF246" s="495"/>
      <c r="BG246" s="495"/>
      <c r="BH246" s="495"/>
      <c r="BI246" s="495"/>
      <c r="BJ246" s="495"/>
      <c r="BK246" s="495"/>
      <c r="BL246" s="495"/>
    </row>
    <row r="247" spans="1:64" ht="12">
      <c r="A247" s="495"/>
      <c r="B247" s="495"/>
      <c r="C247" s="495"/>
      <c r="D247" s="495"/>
      <c r="E247" s="495"/>
      <c r="F247" s="495"/>
      <c r="G247" s="495"/>
      <c r="H247" s="495"/>
      <c r="I247" s="495"/>
      <c r="J247" s="495"/>
      <c r="K247" s="495"/>
      <c r="L247" s="495"/>
      <c r="M247" s="495"/>
      <c r="N247" s="495"/>
      <c r="O247" s="495"/>
      <c r="P247" s="495"/>
      <c r="Q247" s="495"/>
      <c r="R247" s="495"/>
      <c r="S247" s="495"/>
      <c r="T247" s="495"/>
      <c r="U247" s="495"/>
      <c r="V247" s="495"/>
      <c r="W247" s="495"/>
      <c r="X247" s="495"/>
      <c r="Y247" s="495"/>
      <c r="Z247" s="495"/>
      <c r="AA247" s="495"/>
      <c r="AB247" s="495"/>
      <c r="AC247" s="495"/>
      <c r="AD247" s="495"/>
      <c r="AE247" s="495"/>
      <c r="AF247" s="495"/>
      <c r="AG247" s="495"/>
      <c r="AH247" s="495"/>
      <c r="AI247" s="495"/>
      <c r="AJ247" s="495"/>
      <c r="AK247" s="495"/>
      <c r="AL247" s="495"/>
      <c r="AM247" s="495"/>
      <c r="AN247" s="495"/>
      <c r="AO247" s="495"/>
      <c r="AP247" s="495"/>
      <c r="AQ247" s="495"/>
      <c r="AR247" s="495"/>
      <c r="AS247" s="495"/>
      <c r="AT247" s="495"/>
      <c r="AU247" s="495"/>
      <c r="AV247" s="495"/>
      <c r="AW247" s="495"/>
      <c r="AX247" s="495"/>
      <c r="AY247" s="495"/>
      <c r="AZ247" s="495"/>
      <c r="BA247" s="495"/>
      <c r="BB247" s="495"/>
      <c r="BC247" s="495"/>
      <c r="BD247" s="495"/>
      <c r="BE247" s="495"/>
      <c r="BF247" s="495"/>
      <c r="BG247" s="495"/>
      <c r="BH247" s="495"/>
      <c r="BI247" s="495"/>
      <c r="BJ247" s="495"/>
      <c r="BK247" s="495"/>
      <c r="BL247" s="495"/>
    </row>
    <row r="248" spans="1:64" ht="12">
      <c r="A248" s="495"/>
      <c r="B248" s="495"/>
      <c r="C248" s="495"/>
      <c r="D248" s="495"/>
      <c r="E248" s="495"/>
      <c r="F248" s="495"/>
      <c r="G248" s="495"/>
      <c r="H248" s="495"/>
      <c r="I248" s="495"/>
      <c r="J248" s="495"/>
      <c r="K248" s="495"/>
      <c r="L248" s="495"/>
      <c r="M248" s="495"/>
      <c r="N248" s="495"/>
      <c r="O248" s="495"/>
      <c r="P248" s="495"/>
      <c r="Q248" s="495"/>
      <c r="R248" s="495"/>
      <c r="S248" s="495"/>
      <c r="T248" s="495"/>
      <c r="U248" s="495"/>
      <c r="V248" s="495"/>
      <c r="W248" s="495"/>
      <c r="X248" s="495"/>
      <c r="Y248" s="495"/>
      <c r="Z248" s="495"/>
      <c r="AA248" s="495"/>
      <c r="AB248" s="495"/>
      <c r="AC248" s="495"/>
      <c r="AD248" s="495"/>
      <c r="AE248" s="495"/>
      <c r="AF248" s="495"/>
      <c r="AG248" s="495"/>
      <c r="AH248" s="495"/>
      <c r="AI248" s="495"/>
      <c r="AJ248" s="495"/>
      <c r="AK248" s="495"/>
      <c r="AL248" s="495"/>
      <c r="AM248" s="495"/>
      <c r="AN248" s="495"/>
      <c r="AO248" s="495"/>
      <c r="AP248" s="495"/>
      <c r="AQ248" s="495"/>
      <c r="AR248" s="495"/>
      <c r="AS248" s="495"/>
      <c r="AT248" s="495"/>
      <c r="AU248" s="495"/>
      <c r="AV248" s="495"/>
      <c r="AW248" s="495"/>
      <c r="AX248" s="495"/>
      <c r="AY248" s="495"/>
      <c r="AZ248" s="495"/>
      <c r="BA248" s="495"/>
      <c r="BB248" s="495"/>
      <c r="BC248" s="495"/>
      <c r="BD248" s="495"/>
      <c r="BE248" s="495"/>
      <c r="BF248" s="495"/>
      <c r="BG248" s="495"/>
      <c r="BH248" s="495"/>
      <c r="BI248" s="495"/>
      <c r="BJ248" s="495"/>
      <c r="BK248" s="495"/>
      <c r="BL248" s="495"/>
    </row>
    <row r="249" spans="1:64" ht="12">
      <c r="A249" s="495"/>
      <c r="B249" s="495"/>
      <c r="C249" s="495"/>
      <c r="D249" s="495"/>
      <c r="E249" s="495"/>
      <c r="F249" s="495"/>
      <c r="G249" s="495"/>
      <c r="H249" s="495"/>
      <c r="I249" s="495"/>
      <c r="J249" s="495"/>
      <c r="K249" s="495"/>
      <c r="L249" s="495"/>
      <c r="M249" s="495"/>
      <c r="N249" s="495"/>
      <c r="O249" s="495"/>
      <c r="P249" s="495"/>
      <c r="Q249" s="495"/>
      <c r="R249" s="495"/>
      <c r="S249" s="495"/>
      <c r="T249" s="495"/>
      <c r="U249" s="495"/>
      <c r="V249" s="495"/>
      <c r="W249" s="495"/>
      <c r="X249" s="495"/>
      <c r="Y249" s="495"/>
      <c r="Z249" s="495"/>
      <c r="AA249" s="495"/>
      <c r="AB249" s="495"/>
      <c r="AC249" s="495"/>
      <c r="AD249" s="495"/>
      <c r="AE249" s="495"/>
      <c r="AF249" s="495"/>
      <c r="AG249" s="495"/>
      <c r="AH249" s="495"/>
      <c r="AI249" s="495"/>
      <c r="AJ249" s="495"/>
      <c r="AK249" s="495"/>
      <c r="AL249" s="495"/>
      <c r="AM249" s="495"/>
      <c r="AN249" s="495"/>
      <c r="AO249" s="495"/>
      <c r="AP249" s="495"/>
      <c r="AQ249" s="495"/>
      <c r="AR249" s="495"/>
      <c r="AS249" s="495"/>
      <c r="AT249" s="495"/>
      <c r="AU249" s="495"/>
      <c r="AV249" s="495"/>
      <c r="AW249" s="495"/>
      <c r="AX249" s="495"/>
      <c r="AY249" s="495"/>
      <c r="AZ249" s="495"/>
      <c r="BA249" s="495"/>
      <c r="BB249" s="495"/>
      <c r="BC249" s="495"/>
      <c r="BD249" s="495"/>
      <c r="BE249" s="495"/>
      <c r="BF249" s="495"/>
      <c r="BG249" s="495"/>
      <c r="BH249" s="495"/>
      <c r="BI249" s="495"/>
      <c r="BJ249" s="495"/>
      <c r="BK249" s="495"/>
      <c r="BL249" s="495"/>
    </row>
    <row r="250" spans="1:64" ht="12">
      <c r="A250" s="495"/>
      <c r="B250" s="495"/>
      <c r="C250" s="495"/>
      <c r="D250" s="495"/>
      <c r="E250" s="495"/>
      <c r="F250" s="495"/>
      <c r="G250" s="495"/>
      <c r="H250" s="495"/>
      <c r="I250" s="495"/>
      <c r="J250" s="495"/>
      <c r="K250" s="495"/>
      <c r="L250" s="495"/>
      <c r="M250" s="495"/>
      <c r="N250" s="495"/>
      <c r="O250" s="495"/>
      <c r="P250" s="495"/>
      <c r="Q250" s="495"/>
      <c r="R250" s="495"/>
      <c r="S250" s="495"/>
      <c r="T250" s="495"/>
      <c r="U250" s="495"/>
      <c r="V250" s="495"/>
      <c r="W250" s="495"/>
      <c r="X250" s="495"/>
      <c r="Y250" s="495"/>
      <c r="Z250" s="495"/>
      <c r="AA250" s="495"/>
      <c r="AB250" s="495"/>
      <c r="AC250" s="495"/>
      <c r="AD250" s="495"/>
      <c r="AE250" s="495"/>
      <c r="AF250" s="495"/>
      <c r="AG250" s="495"/>
      <c r="AH250" s="495"/>
      <c r="AI250" s="495"/>
      <c r="AJ250" s="495"/>
      <c r="AK250" s="495"/>
      <c r="AL250" s="495"/>
      <c r="AM250" s="495"/>
      <c r="AN250" s="495"/>
      <c r="AO250" s="495"/>
      <c r="AP250" s="495"/>
      <c r="AQ250" s="495"/>
      <c r="AR250" s="495"/>
      <c r="AS250" s="495"/>
      <c r="AT250" s="495"/>
      <c r="AU250" s="495"/>
      <c r="AV250" s="495"/>
      <c r="AW250" s="495"/>
      <c r="AX250" s="495"/>
      <c r="AY250" s="495"/>
      <c r="AZ250" s="495"/>
      <c r="BA250" s="495"/>
      <c r="BB250" s="495"/>
      <c r="BC250" s="495"/>
      <c r="BD250" s="495"/>
      <c r="BE250" s="495"/>
      <c r="BF250" s="495"/>
      <c r="BG250" s="495"/>
      <c r="BH250" s="495"/>
      <c r="BI250" s="495"/>
      <c r="BJ250" s="495"/>
      <c r="BK250" s="495"/>
      <c r="BL250" s="495"/>
    </row>
    <row r="251" spans="1:64" ht="12">
      <c r="A251" s="495"/>
      <c r="B251" s="495"/>
      <c r="C251" s="495"/>
      <c r="D251" s="495"/>
      <c r="E251" s="495"/>
      <c r="F251" s="495"/>
      <c r="G251" s="495"/>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c r="AK251" s="495"/>
      <c r="AL251" s="495"/>
      <c r="AM251" s="495"/>
      <c r="AN251" s="495"/>
      <c r="AO251" s="495"/>
      <c r="AP251" s="495"/>
      <c r="AQ251" s="495"/>
      <c r="AR251" s="495"/>
      <c r="AS251" s="495"/>
      <c r="AT251" s="495"/>
      <c r="AU251" s="495"/>
      <c r="AV251" s="495"/>
      <c r="AW251" s="495"/>
      <c r="AX251" s="495"/>
      <c r="AY251" s="495"/>
      <c r="AZ251" s="495"/>
      <c r="BA251" s="495"/>
      <c r="BB251" s="495"/>
      <c r="BC251" s="495"/>
      <c r="BD251" s="495"/>
      <c r="BE251" s="495"/>
      <c r="BF251" s="495"/>
      <c r="BG251" s="495"/>
      <c r="BH251" s="495"/>
      <c r="BI251" s="495"/>
      <c r="BJ251" s="495"/>
      <c r="BK251" s="495"/>
      <c r="BL251" s="495"/>
    </row>
    <row r="252" spans="1:64" ht="12">
      <c r="A252" s="495"/>
      <c r="B252" s="495"/>
      <c r="C252" s="495"/>
      <c r="D252" s="495"/>
      <c r="E252" s="495"/>
      <c r="F252" s="495"/>
      <c r="G252" s="495"/>
      <c r="H252" s="495"/>
      <c r="I252" s="495"/>
      <c r="J252" s="495"/>
      <c r="K252" s="495"/>
      <c r="L252" s="495"/>
      <c r="M252" s="495"/>
      <c r="N252" s="495"/>
      <c r="O252" s="495"/>
      <c r="P252" s="495"/>
      <c r="Q252" s="495"/>
      <c r="R252" s="495"/>
      <c r="S252" s="495"/>
      <c r="T252" s="495"/>
      <c r="U252" s="495"/>
      <c r="V252" s="495"/>
      <c r="W252" s="495"/>
      <c r="X252" s="495"/>
      <c r="Y252" s="495"/>
      <c r="Z252" s="495"/>
      <c r="AA252" s="495"/>
      <c r="AB252" s="495"/>
      <c r="AC252" s="495"/>
      <c r="AD252" s="495"/>
      <c r="AE252" s="495"/>
      <c r="AF252" s="495"/>
      <c r="AG252" s="495"/>
      <c r="AH252" s="495"/>
      <c r="AI252" s="495"/>
      <c r="AJ252" s="495"/>
      <c r="AK252" s="495"/>
      <c r="AL252" s="495"/>
      <c r="AM252" s="495"/>
      <c r="AN252" s="495"/>
      <c r="AO252" s="495"/>
      <c r="AP252" s="495"/>
      <c r="AQ252" s="495"/>
      <c r="AR252" s="495"/>
      <c r="AS252" s="495"/>
      <c r="AT252" s="495"/>
      <c r="AU252" s="495"/>
      <c r="AV252" s="495"/>
      <c r="AW252" s="495"/>
      <c r="AX252" s="495"/>
      <c r="AY252" s="495"/>
      <c r="AZ252" s="495"/>
      <c r="BA252" s="495"/>
      <c r="BB252" s="495"/>
      <c r="BC252" s="495"/>
      <c r="BD252" s="495"/>
      <c r="BE252" s="495"/>
      <c r="BF252" s="495"/>
      <c r="BG252" s="495"/>
      <c r="BH252" s="495"/>
      <c r="BI252" s="495"/>
      <c r="BJ252" s="495"/>
      <c r="BK252" s="495"/>
      <c r="BL252" s="495"/>
    </row>
    <row r="253" spans="1:64" ht="12">
      <c r="A253" s="495"/>
      <c r="B253" s="495"/>
      <c r="C253" s="495"/>
      <c r="D253" s="495"/>
      <c r="E253" s="495"/>
      <c r="F253" s="495"/>
      <c r="G253" s="495"/>
      <c r="H253" s="495"/>
      <c r="I253" s="495"/>
      <c r="J253" s="495"/>
      <c r="K253" s="495"/>
      <c r="L253" s="495"/>
      <c r="M253" s="495"/>
      <c r="N253" s="495"/>
      <c r="O253" s="495"/>
      <c r="P253" s="495"/>
      <c r="Q253" s="495"/>
      <c r="R253" s="495"/>
      <c r="S253" s="495"/>
      <c r="T253" s="495"/>
      <c r="U253" s="495"/>
      <c r="V253" s="495"/>
      <c r="W253" s="495"/>
      <c r="X253" s="495"/>
      <c r="Y253" s="495"/>
      <c r="Z253" s="495"/>
      <c r="AA253" s="495"/>
      <c r="AB253" s="495"/>
      <c r="AC253" s="495"/>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5"/>
      <c r="AY253" s="495"/>
      <c r="AZ253" s="495"/>
      <c r="BA253" s="495"/>
      <c r="BB253" s="495"/>
      <c r="BC253" s="495"/>
      <c r="BD253" s="495"/>
      <c r="BE253" s="495"/>
      <c r="BF253" s="495"/>
      <c r="BG253" s="495"/>
      <c r="BH253" s="495"/>
      <c r="BI253" s="495"/>
      <c r="BJ253" s="495"/>
      <c r="BK253" s="495"/>
      <c r="BL253" s="495"/>
    </row>
    <row r="254" spans="1:64" ht="12">
      <c r="A254" s="495"/>
      <c r="B254" s="495"/>
      <c r="C254" s="495"/>
      <c r="D254" s="495"/>
      <c r="E254" s="495"/>
      <c r="F254" s="495"/>
      <c r="G254" s="495"/>
      <c r="H254" s="495"/>
      <c r="I254" s="495"/>
      <c r="J254" s="495"/>
      <c r="K254" s="495"/>
      <c r="L254" s="495"/>
      <c r="M254" s="495"/>
      <c r="N254" s="495"/>
      <c r="O254" s="495"/>
      <c r="P254" s="495"/>
      <c r="Q254" s="495"/>
      <c r="R254" s="495"/>
      <c r="S254" s="495"/>
      <c r="T254" s="495"/>
      <c r="U254" s="495"/>
      <c r="V254" s="495"/>
      <c r="W254" s="495"/>
      <c r="X254" s="495"/>
      <c r="Y254" s="495"/>
      <c r="Z254" s="495"/>
      <c r="AA254" s="495"/>
      <c r="AB254" s="495"/>
      <c r="AC254" s="495"/>
      <c r="AD254" s="495"/>
      <c r="AE254" s="495"/>
      <c r="AF254" s="495"/>
      <c r="AG254" s="495"/>
      <c r="AH254" s="495"/>
      <c r="AI254" s="495"/>
      <c r="AJ254" s="495"/>
      <c r="AK254" s="495"/>
      <c r="AL254" s="495"/>
      <c r="AM254" s="495"/>
      <c r="AN254" s="495"/>
      <c r="AO254" s="495"/>
      <c r="AP254" s="495"/>
      <c r="AQ254" s="495"/>
      <c r="AR254" s="495"/>
      <c r="AS254" s="495"/>
      <c r="AT254" s="495"/>
      <c r="AU254" s="495"/>
      <c r="AV254" s="495"/>
      <c r="AW254" s="495"/>
      <c r="AX254" s="495"/>
      <c r="AY254" s="495"/>
      <c r="AZ254" s="495"/>
      <c r="BA254" s="495"/>
      <c r="BB254" s="495"/>
      <c r="BC254" s="495"/>
      <c r="BD254" s="495"/>
      <c r="BE254" s="495"/>
      <c r="BF254" s="495"/>
      <c r="BG254" s="495"/>
      <c r="BH254" s="495"/>
      <c r="BI254" s="495"/>
      <c r="BJ254" s="495"/>
      <c r="BK254" s="495"/>
      <c r="BL254" s="495"/>
    </row>
    <row r="255" spans="1:64" ht="12">
      <c r="A255" s="495"/>
      <c r="B255" s="495"/>
      <c r="C255" s="495"/>
      <c r="D255" s="495"/>
      <c r="E255" s="495"/>
      <c r="F255" s="495"/>
      <c r="G255" s="495"/>
      <c r="H255" s="495"/>
      <c r="I255" s="495"/>
      <c r="J255" s="495"/>
      <c r="K255" s="495"/>
      <c r="L255" s="495"/>
      <c r="M255" s="495"/>
      <c r="N255" s="495"/>
      <c r="O255" s="495"/>
      <c r="P255" s="495"/>
      <c r="Q255" s="495"/>
      <c r="R255" s="495"/>
      <c r="S255" s="495"/>
      <c r="T255" s="495"/>
      <c r="U255" s="495"/>
      <c r="V255" s="495"/>
      <c r="W255" s="495"/>
      <c r="X255" s="495"/>
      <c r="Y255" s="495"/>
      <c r="Z255" s="495"/>
      <c r="AA255" s="495"/>
      <c r="AB255" s="495"/>
      <c r="AC255" s="495"/>
      <c r="AD255" s="495"/>
      <c r="AE255" s="495"/>
      <c r="AF255" s="495"/>
      <c r="AG255" s="495"/>
      <c r="AH255" s="495"/>
      <c r="AI255" s="495"/>
      <c r="AJ255" s="495"/>
      <c r="AK255" s="495"/>
      <c r="AL255" s="495"/>
      <c r="AM255" s="495"/>
      <c r="AN255" s="495"/>
      <c r="AO255" s="495"/>
      <c r="AP255" s="495"/>
      <c r="AQ255" s="495"/>
      <c r="AR255" s="495"/>
      <c r="AS255" s="495"/>
      <c r="AT255" s="495"/>
      <c r="AU255" s="495"/>
      <c r="AV255" s="495"/>
      <c r="AW255" s="495"/>
      <c r="AX255" s="495"/>
      <c r="AY255" s="495"/>
      <c r="AZ255" s="495"/>
      <c r="BA255" s="495"/>
      <c r="BB255" s="495"/>
      <c r="BC255" s="495"/>
      <c r="BD255" s="495"/>
      <c r="BE255" s="495"/>
      <c r="BF255" s="495"/>
      <c r="BG255" s="495"/>
      <c r="BH255" s="495"/>
      <c r="BI255" s="495"/>
      <c r="BJ255" s="495"/>
      <c r="BK255" s="495"/>
      <c r="BL255" s="495"/>
    </row>
    <row r="256" spans="1:64" ht="12">
      <c r="A256" s="495"/>
      <c r="B256" s="495"/>
      <c r="C256" s="495"/>
      <c r="D256" s="495"/>
      <c r="E256" s="495"/>
      <c r="F256" s="495"/>
      <c r="G256" s="495"/>
      <c r="H256" s="495"/>
      <c r="I256" s="495"/>
      <c r="J256" s="495"/>
      <c r="K256" s="495"/>
      <c r="L256" s="495"/>
      <c r="M256" s="495"/>
      <c r="N256" s="495"/>
      <c r="O256" s="495"/>
      <c r="P256" s="495"/>
      <c r="Q256" s="495"/>
      <c r="R256" s="495"/>
      <c r="S256" s="495"/>
      <c r="T256" s="495"/>
      <c r="U256" s="495"/>
      <c r="V256" s="495"/>
      <c r="W256" s="495"/>
      <c r="X256" s="495"/>
      <c r="Y256" s="495"/>
      <c r="Z256" s="495"/>
      <c r="AA256" s="495"/>
      <c r="AB256" s="495"/>
      <c r="AC256" s="495"/>
      <c r="AD256" s="495"/>
      <c r="AE256" s="495"/>
      <c r="AF256" s="495"/>
      <c r="AG256" s="495"/>
      <c r="AH256" s="495"/>
      <c r="AI256" s="495"/>
      <c r="AJ256" s="495"/>
      <c r="AK256" s="495"/>
      <c r="AL256" s="495"/>
      <c r="AM256" s="495"/>
      <c r="AN256" s="495"/>
      <c r="AO256" s="495"/>
      <c r="AP256" s="495"/>
      <c r="AQ256" s="495"/>
      <c r="AR256" s="495"/>
      <c r="AS256" s="495"/>
      <c r="AT256" s="495"/>
      <c r="AU256" s="495"/>
      <c r="AV256" s="495"/>
      <c r="AW256" s="495"/>
      <c r="AX256" s="495"/>
      <c r="AY256" s="495"/>
      <c r="AZ256" s="495"/>
      <c r="BA256" s="495"/>
      <c r="BB256" s="495"/>
      <c r="BC256" s="495"/>
      <c r="BD256" s="495"/>
      <c r="BE256" s="495"/>
      <c r="BF256" s="495"/>
      <c r="BG256" s="495"/>
      <c r="BH256" s="495"/>
      <c r="BI256" s="495"/>
      <c r="BJ256" s="495"/>
      <c r="BK256" s="495"/>
      <c r="BL256" s="495"/>
    </row>
    <row r="257" spans="1:64" ht="12">
      <c r="A257" s="495"/>
      <c r="B257" s="495"/>
      <c r="C257" s="495"/>
      <c r="D257" s="495"/>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5"/>
      <c r="AH257" s="495"/>
      <c r="AI257" s="495"/>
      <c r="AJ257" s="495"/>
      <c r="AK257" s="495"/>
      <c r="AL257" s="495"/>
      <c r="AM257" s="495"/>
      <c r="AN257" s="495"/>
      <c r="AO257" s="495"/>
      <c r="AP257" s="495"/>
      <c r="AQ257" s="495"/>
      <c r="AR257" s="495"/>
      <c r="AS257" s="495"/>
      <c r="AT257" s="495"/>
      <c r="AU257" s="495"/>
      <c r="AV257" s="495"/>
      <c r="AW257" s="495"/>
      <c r="AX257" s="495"/>
      <c r="AY257" s="495"/>
      <c r="AZ257" s="495"/>
      <c r="BA257" s="495"/>
      <c r="BB257" s="495"/>
      <c r="BC257" s="495"/>
      <c r="BD257" s="495"/>
      <c r="BE257" s="495"/>
      <c r="BF257" s="495"/>
      <c r="BG257" s="495"/>
      <c r="BH257" s="495"/>
      <c r="BI257" s="495"/>
      <c r="BJ257" s="495"/>
      <c r="BK257" s="495"/>
      <c r="BL257" s="495"/>
    </row>
    <row r="258" spans="1:64" ht="12">
      <c r="A258" s="495"/>
      <c r="B258" s="495"/>
      <c r="C258" s="495"/>
      <c r="D258" s="495"/>
      <c r="E258" s="495"/>
      <c r="F258" s="495"/>
      <c r="G258" s="495"/>
      <c r="H258" s="495"/>
      <c r="I258" s="495"/>
      <c r="J258" s="495"/>
      <c r="K258" s="495"/>
      <c r="L258" s="495"/>
      <c r="M258" s="495"/>
      <c r="N258" s="495"/>
      <c r="O258" s="495"/>
      <c r="P258" s="495"/>
      <c r="Q258" s="495"/>
      <c r="R258" s="495"/>
      <c r="S258" s="495"/>
      <c r="T258" s="495"/>
      <c r="U258" s="495"/>
      <c r="V258" s="495"/>
      <c r="W258" s="495"/>
      <c r="X258" s="495"/>
      <c r="Y258" s="495"/>
      <c r="Z258" s="495"/>
      <c r="AA258" s="495"/>
      <c r="AB258" s="495"/>
      <c r="AC258" s="495"/>
      <c r="AD258" s="495"/>
      <c r="AE258" s="495"/>
      <c r="AF258" s="495"/>
      <c r="AG258" s="495"/>
      <c r="AH258" s="495"/>
      <c r="AI258" s="495"/>
      <c r="AJ258" s="495"/>
      <c r="AK258" s="495"/>
      <c r="AL258" s="495"/>
      <c r="AM258" s="495"/>
      <c r="AN258" s="495"/>
      <c r="AO258" s="495"/>
      <c r="AP258" s="495"/>
      <c r="AQ258" s="495"/>
      <c r="AR258" s="495"/>
      <c r="AS258" s="495"/>
      <c r="AT258" s="495"/>
      <c r="AU258" s="495"/>
      <c r="AV258" s="495"/>
      <c r="AW258" s="495"/>
      <c r="AX258" s="495"/>
      <c r="AY258" s="495"/>
      <c r="AZ258" s="495"/>
      <c r="BA258" s="495"/>
      <c r="BB258" s="495"/>
      <c r="BC258" s="495"/>
      <c r="BD258" s="495"/>
      <c r="BE258" s="495"/>
      <c r="BF258" s="495"/>
      <c r="BG258" s="495"/>
      <c r="BH258" s="495"/>
      <c r="BI258" s="495"/>
      <c r="BJ258" s="495"/>
      <c r="BK258" s="495"/>
      <c r="BL258" s="495"/>
    </row>
    <row r="259" spans="1:64" ht="12">
      <c r="A259" s="495"/>
      <c r="B259" s="495"/>
      <c r="C259" s="495"/>
      <c r="D259" s="495"/>
      <c r="E259" s="495"/>
      <c r="F259" s="495"/>
      <c r="G259" s="495"/>
      <c r="H259" s="495"/>
      <c r="I259" s="495"/>
      <c r="J259" s="495"/>
      <c r="K259" s="495"/>
      <c r="L259" s="495"/>
      <c r="M259" s="495"/>
      <c r="N259" s="495"/>
      <c r="O259" s="495"/>
      <c r="P259" s="495"/>
      <c r="Q259" s="495"/>
      <c r="R259" s="495"/>
      <c r="S259" s="495"/>
      <c r="T259" s="495"/>
      <c r="U259" s="495"/>
      <c r="V259" s="495"/>
      <c r="W259" s="495"/>
      <c r="X259" s="495"/>
      <c r="Y259" s="495"/>
      <c r="Z259" s="495"/>
      <c r="AA259" s="495"/>
      <c r="AB259" s="495"/>
      <c r="AC259" s="495"/>
      <c r="AD259" s="495"/>
      <c r="AE259" s="495"/>
      <c r="AF259" s="495"/>
      <c r="AG259" s="495"/>
      <c r="AH259" s="495"/>
      <c r="AI259" s="495"/>
      <c r="AJ259" s="495"/>
      <c r="AK259" s="495"/>
      <c r="AL259" s="495"/>
      <c r="AM259" s="495"/>
      <c r="AN259" s="495"/>
      <c r="AO259" s="495"/>
      <c r="AP259" s="495"/>
      <c r="AQ259" s="495"/>
      <c r="AR259" s="495"/>
      <c r="AS259" s="495"/>
      <c r="AT259" s="495"/>
      <c r="AU259" s="495"/>
      <c r="AV259" s="495"/>
      <c r="AW259" s="495"/>
      <c r="AX259" s="495"/>
      <c r="AY259" s="495"/>
      <c r="AZ259" s="495"/>
      <c r="BA259" s="495"/>
      <c r="BB259" s="495"/>
      <c r="BC259" s="495"/>
      <c r="BD259" s="495"/>
      <c r="BE259" s="495"/>
      <c r="BF259" s="495"/>
      <c r="BG259" s="495"/>
      <c r="BH259" s="495"/>
      <c r="BI259" s="495"/>
      <c r="BJ259" s="495"/>
      <c r="BK259" s="495"/>
      <c r="BL259" s="495"/>
    </row>
    <row r="260" spans="1:64" ht="12">
      <c r="A260" s="495"/>
      <c r="B260" s="495"/>
      <c r="C260" s="495"/>
      <c r="D260" s="495"/>
      <c r="E260" s="495"/>
      <c r="F260" s="495"/>
      <c r="G260" s="495"/>
      <c r="H260" s="495"/>
      <c r="I260" s="495"/>
      <c r="J260" s="495"/>
      <c r="K260" s="495"/>
      <c r="L260" s="495"/>
      <c r="M260" s="495"/>
      <c r="N260" s="495"/>
      <c r="O260" s="495"/>
      <c r="P260" s="495"/>
      <c r="Q260" s="495"/>
      <c r="R260" s="495"/>
      <c r="S260" s="495"/>
      <c r="T260" s="495"/>
      <c r="U260" s="495"/>
      <c r="V260" s="495"/>
      <c r="W260" s="495"/>
      <c r="X260" s="495"/>
      <c r="Y260" s="495"/>
      <c r="Z260" s="495"/>
      <c r="AA260" s="495"/>
      <c r="AB260" s="495"/>
      <c r="AC260" s="495"/>
      <c r="AD260" s="495"/>
      <c r="AE260" s="495"/>
      <c r="AF260" s="495"/>
      <c r="AG260" s="495"/>
      <c r="AH260" s="495"/>
      <c r="AI260" s="495"/>
      <c r="AJ260" s="495"/>
      <c r="AK260" s="495"/>
      <c r="AL260" s="495"/>
      <c r="AM260" s="495"/>
      <c r="AN260" s="495"/>
      <c r="AO260" s="495"/>
      <c r="AP260" s="495"/>
      <c r="AQ260" s="495"/>
      <c r="AR260" s="495"/>
      <c r="AS260" s="495"/>
      <c r="AT260" s="495"/>
      <c r="AU260" s="495"/>
      <c r="AV260" s="495"/>
      <c r="AW260" s="495"/>
      <c r="AX260" s="495"/>
      <c r="AY260" s="495"/>
      <c r="AZ260" s="495"/>
      <c r="BA260" s="495"/>
      <c r="BB260" s="495"/>
      <c r="BC260" s="495"/>
      <c r="BD260" s="495"/>
      <c r="BE260" s="495"/>
      <c r="BF260" s="495"/>
      <c r="BG260" s="495"/>
      <c r="BH260" s="495"/>
      <c r="BI260" s="495"/>
      <c r="BJ260" s="495"/>
      <c r="BK260" s="495"/>
      <c r="BL260" s="495"/>
    </row>
    <row r="261" spans="1:64" ht="12">
      <c r="A261" s="495"/>
      <c r="B261" s="495"/>
      <c r="C261" s="495"/>
      <c r="D261" s="495"/>
      <c r="E261" s="495"/>
      <c r="F261" s="495"/>
      <c r="G261" s="495"/>
      <c r="H261" s="495"/>
      <c r="I261" s="495"/>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c r="AG261" s="495"/>
      <c r="AH261" s="495"/>
      <c r="AI261" s="495"/>
      <c r="AJ261" s="495"/>
      <c r="AK261" s="495"/>
      <c r="AL261" s="495"/>
      <c r="AM261" s="495"/>
      <c r="AN261" s="495"/>
      <c r="AO261" s="495"/>
      <c r="AP261" s="495"/>
      <c r="AQ261" s="495"/>
      <c r="AR261" s="495"/>
      <c r="AS261" s="495"/>
      <c r="AT261" s="495"/>
      <c r="AU261" s="495"/>
      <c r="AV261" s="495"/>
      <c r="AW261" s="495"/>
      <c r="AX261" s="495"/>
      <c r="AY261" s="495"/>
      <c r="AZ261" s="495"/>
      <c r="BA261" s="495"/>
      <c r="BB261" s="495"/>
      <c r="BC261" s="495"/>
      <c r="BD261" s="495"/>
      <c r="BE261" s="495"/>
      <c r="BF261" s="495"/>
      <c r="BG261" s="495"/>
      <c r="BH261" s="495"/>
      <c r="BI261" s="495"/>
      <c r="BJ261" s="495"/>
      <c r="BK261" s="495"/>
      <c r="BL261" s="495"/>
    </row>
    <row r="262" spans="1:64" ht="12">
      <c r="A262" s="495"/>
      <c r="B262" s="495"/>
      <c r="C262" s="495"/>
      <c r="D262" s="495"/>
      <c r="E262" s="495"/>
      <c r="F262" s="495"/>
      <c r="G262" s="495"/>
      <c r="H262" s="495"/>
      <c r="I262" s="495"/>
      <c r="J262" s="495"/>
      <c r="K262" s="495"/>
      <c r="L262" s="495"/>
      <c r="M262" s="495"/>
      <c r="N262" s="495"/>
      <c r="O262" s="495"/>
      <c r="P262" s="495"/>
      <c r="Q262" s="495"/>
      <c r="R262" s="495"/>
      <c r="S262" s="495"/>
      <c r="T262" s="495"/>
      <c r="U262" s="495"/>
      <c r="V262" s="495"/>
      <c r="W262" s="495"/>
      <c r="X262" s="495"/>
      <c r="Y262" s="495"/>
      <c r="Z262" s="495"/>
      <c r="AA262" s="495"/>
      <c r="AB262" s="495"/>
      <c r="AC262" s="495"/>
      <c r="AD262" s="495"/>
      <c r="AE262" s="495"/>
      <c r="AF262" s="495"/>
      <c r="AG262" s="495"/>
      <c r="AH262" s="495"/>
      <c r="AI262" s="495"/>
      <c r="AJ262" s="495"/>
      <c r="AK262" s="495"/>
      <c r="AL262" s="495"/>
      <c r="AM262" s="495"/>
      <c r="AN262" s="495"/>
      <c r="AO262" s="495"/>
      <c r="AP262" s="495"/>
      <c r="AQ262" s="495"/>
      <c r="AR262" s="495"/>
      <c r="AS262" s="495"/>
      <c r="AT262" s="495"/>
      <c r="AU262" s="495"/>
      <c r="AV262" s="495"/>
      <c r="AW262" s="495"/>
      <c r="AX262" s="495"/>
      <c r="AY262" s="495"/>
      <c r="AZ262" s="495"/>
      <c r="BA262" s="495"/>
      <c r="BB262" s="495"/>
      <c r="BC262" s="495"/>
      <c r="BD262" s="495"/>
      <c r="BE262" s="495"/>
      <c r="BF262" s="495"/>
      <c r="BG262" s="495"/>
      <c r="BH262" s="495"/>
      <c r="BI262" s="495"/>
      <c r="BJ262" s="495"/>
      <c r="BK262" s="495"/>
      <c r="BL262" s="495"/>
    </row>
    <row r="263" spans="1:64" ht="12">
      <c r="A263" s="495"/>
      <c r="B263" s="495"/>
      <c r="C263" s="495"/>
      <c r="D263" s="495"/>
      <c r="E263" s="495"/>
      <c r="F263" s="495"/>
      <c r="G263" s="495"/>
      <c r="H263" s="495"/>
      <c r="I263" s="495"/>
      <c r="J263" s="495"/>
      <c r="K263" s="495"/>
      <c r="L263" s="495"/>
      <c r="M263" s="495"/>
      <c r="N263" s="495"/>
      <c r="O263" s="495"/>
      <c r="P263" s="495"/>
      <c r="Q263" s="495"/>
      <c r="R263" s="495"/>
      <c r="S263" s="495"/>
      <c r="T263" s="495"/>
      <c r="U263" s="495"/>
      <c r="V263" s="495"/>
      <c r="W263" s="495"/>
      <c r="X263" s="495"/>
      <c r="Y263" s="495"/>
      <c r="Z263" s="495"/>
      <c r="AA263" s="495"/>
      <c r="AB263" s="495"/>
      <c r="AC263" s="495"/>
      <c r="AD263" s="495"/>
      <c r="AE263" s="495"/>
      <c r="AF263" s="495"/>
      <c r="AG263" s="495"/>
      <c r="AH263" s="495"/>
      <c r="AI263" s="495"/>
      <c r="AJ263" s="495"/>
      <c r="AK263" s="495"/>
      <c r="AL263" s="495"/>
      <c r="AM263" s="495"/>
      <c r="AN263" s="495"/>
      <c r="AO263" s="495"/>
      <c r="AP263" s="495"/>
      <c r="AQ263" s="495"/>
      <c r="AR263" s="495"/>
      <c r="AS263" s="495"/>
      <c r="AT263" s="495"/>
      <c r="AU263" s="495"/>
      <c r="AV263" s="495"/>
      <c r="AW263" s="495"/>
      <c r="AX263" s="495"/>
      <c r="AY263" s="495"/>
      <c r="AZ263" s="495"/>
      <c r="BA263" s="495"/>
      <c r="BB263" s="495"/>
      <c r="BC263" s="495"/>
      <c r="BD263" s="495"/>
      <c r="BE263" s="495"/>
      <c r="BF263" s="495"/>
      <c r="BG263" s="495"/>
      <c r="BH263" s="495"/>
      <c r="BI263" s="495"/>
      <c r="BJ263" s="495"/>
      <c r="BK263" s="495"/>
      <c r="BL263" s="495"/>
    </row>
    <row r="264" spans="1:64" ht="12">
      <c r="A264" s="495"/>
      <c r="B264" s="495"/>
      <c r="C264" s="495"/>
      <c r="D264" s="495"/>
      <c r="E264" s="495"/>
      <c r="F264" s="495"/>
      <c r="G264" s="495"/>
      <c r="H264" s="495"/>
      <c r="I264" s="495"/>
      <c r="J264" s="495"/>
      <c r="K264" s="495"/>
      <c r="L264" s="495"/>
      <c r="M264" s="495"/>
      <c r="N264" s="495"/>
      <c r="O264" s="495"/>
      <c r="P264" s="495"/>
      <c r="Q264" s="495"/>
      <c r="R264" s="495"/>
      <c r="S264" s="495"/>
      <c r="T264" s="495"/>
      <c r="U264" s="495"/>
      <c r="V264" s="495"/>
      <c r="W264" s="495"/>
      <c r="X264" s="495"/>
      <c r="Y264" s="495"/>
      <c r="Z264" s="495"/>
      <c r="AA264" s="495"/>
      <c r="AB264" s="495"/>
      <c r="AC264" s="495"/>
      <c r="AD264" s="495"/>
      <c r="AE264" s="495"/>
      <c r="AF264" s="495"/>
      <c r="AG264" s="495"/>
      <c r="AH264" s="495"/>
      <c r="AI264" s="495"/>
      <c r="AJ264" s="495"/>
      <c r="AK264" s="495"/>
      <c r="AL264" s="495"/>
      <c r="AM264" s="495"/>
      <c r="AN264" s="495"/>
      <c r="AO264" s="495"/>
      <c r="AP264" s="495"/>
      <c r="AQ264" s="495"/>
      <c r="AR264" s="495"/>
      <c r="AS264" s="495"/>
      <c r="AT264" s="495"/>
      <c r="AU264" s="495"/>
      <c r="AV264" s="495"/>
      <c r="AW264" s="495"/>
      <c r="AX264" s="495"/>
      <c r="AY264" s="495"/>
      <c r="AZ264" s="495"/>
      <c r="BA264" s="495"/>
      <c r="BB264" s="495"/>
      <c r="BC264" s="495"/>
      <c r="BD264" s="495"/>
      <c r="BE264" s="495"/>
      <c r="BF264" s="495"/>
      <c r="BG264" s="495"/>
      <c r="BH264" s="495"/>
      <c r="BI264" s="495"/>
      <c r="BJ264" s="495"/>
      <c r="BK264" s="495"/>
      <c r="BL264" s="495"/>
    </row>
    <row r="265" spans="1:64" ht="12">
      <c r="A265" s="495"/>
      <c r="B265" s="495"/>
      <c r="C265" s="495"/>
      <c r="D265" s="495"/>
      <c r="E265" s="495"/>
      <c r="F265" s="495"/>
      <c r="G265" s="495"/>
      <c r="H265" s="495"/>
      <c r="I265" s="495"/>
      <c r="J265" s="495"/>
      <c r="K265" s="495"/>
      <c r="L265" s="495"/>
      <c r="M265" s="495"/>
      <c r="N265" s="495"/>
      <c r="O265" s="495"/>
      <c r="P265" s="495"/>
      <c r="Q265" s="495"/>
      <c r="R265" s="495"/>
      <c r="S265" s="495"/>
      <c r="T265" s="495"/>
      <c r="U265" s="495"/>
      <c r="V265" s="495"/>
      <c r="W265" s="495"/>
      <c r="X265" s="495"/>
      <c r="Y265" s="495"/>
      <c r="Z265" s="495"/>
      <c r="AA265" s="495"/>
      <c r="AB265" s="495"/>
      <c r="AC265" s="495"/>
      <c r="AD265" s="495"/>
      <c r="AE265" s="495"/>
      <c r="AF265" s="495"/>
      <c r="AG265" s="495"/>
      <c r="AH265" s="495"/>
      <c r="AI265" s="495"/>
      <c r="AJ265" s="495"/>
      <c r="AK265" s="495"/>
      <c r="AL265" s="495"/>
      <c r="AM265" s="495"/>
      <c r="AN265" s="495"/>
      <c r="AO265" s="495"/>
      <c r="AP265" s="495"/>
      <c r="AQ265" s="495"/>
      <c r="AR265" s="495"/>
      <c r="AS265" s="495"/>
      <c r="AT265" s="495"/>
      <c r="AU265" s="495"/>
      <c r="AV265" s="495"/>
      <c r="AW265" s="495"/>
      <c r="AX265" s="495"/>
      <c r="AY265" s="495"/>
      <c r="AZ265" s="495"/>
      <c r="BA265" s="495"/>
      <c r="BB265" s="495"/>
      <c r="BC265" s="495"/>
      <c r="BD265" s="495"/>
      <c r="BE265" s="495"/>
      <c r="BF265" s="495"/>
      <c r="BG265" s="495"/>
      <c r="BH265" s="495"/>
      <c r="BI265" s="495"/>
      <c r="BJ265" s="495"/>
      <c r="BK265" s="495"/>
      <c r="BL265" s="495"/>
    </row>
    <row r="266" spans="1:64" ht="12">
      <c r="A266" s="495"/>
      <c r="B266" s="495"/>
      <c r="C266" s="495"/>
      <c r="D266" s="495"/>
      <c r="E266" s="495"/>
      <c r="F266" s="495"/>
      <c r="G266" s="495"/>
      <c r="H266" s="495"/>
      <c r="I266" s="495"/>
      <c r="J266" s="495"/>
      <c r="K266" s="495"/>
      <c r="L266" s="495"/>
      <c r="M266" s="495"/>
      <c r="N266" s="495"/>
      <c r="O266" s="495"/>
      <c r="P266" s="495"/>
      <c r="Q266" s="495"/>
      <c r="R266" s="495"/>
      <c r="S266" s="495"/>
      <c r="T266" s="495"/>
      <c r="U266" s="495"/>
      <c r="V266" s="495"/>
      <c r="W266" s="495"/>
      <c r="X266" s="495"/>
      <c r="Y266" s="495"/>
      <c r="Z266" s="495"/>
      <c r="AA266" s="495"/>
      <c r="AB266" s="495"/>
      <c r="AC266" s="495"/>
      <c r="AD266" s="495"/>
      <c r="AE266" s="495"/>
      <c r="AF266" s="495"/>
      <c r="AG266" s="495"/>
      <c r="AH266" s="495"/>
      <c r="AI266" s="495"/>
      <c r="AJ266" s="495"/>
      <c r="AK266" s="495"/>
      <c r="AL266" s="495"/>
      <c r="AM266" s="495"/>
      <c r="AN266" s="495"/>
      <c r="AO266" s="495"/>
      <c r="AP266" s="495"/>
      <c r="AQ266" s="495"/>
      <c r="AR266" s="495"/>
      <c r="AS266" s="495"/>
      <c r="AT266" s="495"/>
      <c r="AU266" s="495"/>
      <c r="AV266" s="495"/>
      <c r="AW266" s="495"/>
      <c r="AX266" s="495"/>
      <c r="AY266" s="495"/>
      <c r="AZ266" s="495"/>
      <c r="BA266" s="495"/>
      <c r="BB266" s="495"/>
      <c r="BC266" s="495"/>
      <c r="BD266" s="495"/>
      <c r="BE266" s="495"/>
      <c r="BF266" s="495"/>
      <c r="BG266" s="495"/>
      <c r="BH266" s="495"/>
      <c r="BI266" s="495"/>
      <c r="BJ266" s="495"/>
      <c r="BK266" s="495"/>
      <c r="BL266" s="495"/>
    </row>
    <row r="267" spans="1:64" ht="12">
      <c r="A267" s="495"/>
      <c r="B267" s="495"/>
      <c r="C267" s="495"/>
      <c r="D267" s="495"/>
      <c r="E267" s="495"/>
      <c r="F267" s="495"/>
      <c r="G267" s="495"/>
      <c r="H267" s="495"/>
      <c r="I267" s="495"/>
      <c r="J267" s="495"/>
      <c r="K267" s="495"/>
      <c r="L267" s="495"/>
      <c r="M267" s="495"/>
      <c r="N267" s="495"/>
      <c r="O267" s="495"/>
      <c r="P267" s="495"/>
      <c r="Q267" s="495"/>
      <c r="R267" s="495"/>
      <c r="S267" s="495"/>
      <c r="T267" s="495"/>
      <c r="U267" s="495"/>
      <c r="V267" s="495"/>
      <c r="W267" s="495"/>
      <c r="X267" s="495"/>
      <c r="Y267" s="495"/>
      <c r="Z267" s="495"/>
      <c r="AA267" s="495"/>
      <c r="AB267" s="495"/>
      <c r="AC267" s="495"/>
      <c r="AD267" s="495"/>
      <c r="AE267" s="495"/>
      <c r="AF267" s="495"/>
      <c r="AG267" s="495"/>
      <c r="AH267" s="495"/>
      <c r="AI267" s="495"/>
      <c r="AJ267" s="495"/>
      <c r="AK267" s="495"/>
      <c r="AL267" s="495"/>
      <c r="AM267" s="495"/>
      <c r="AN267" s="495"/>
      <c r="AO267" s="495"/>
      <c r="AP267" s="495"/>
      <c r="AQ267" s="495"/>
      <c r="AR267" s="495"/>
      <c r="AS267" s="495"/>
      <c r="AT267" s="495"/>
      <c r="AU267" s="495"/>
      <c r="AV267" s="495"/>
      <c r="AW267" s="495"/>
      <c r="AX267" s="495"/>
      <c r="AY267" s="495"/>
      <c r="AZ267" s="495"/>
      <c r="BA267" s="495"/>
      <c r="BB267" s="495"/>
      <c r="BC267" s="495"/>
      <c r="BD267" s="495"/>
      <c r="BE267" s="495"/>
      <c r="BF267" s="495"/>
      <c r="BG267" s="495"/>
      <c r="BH267" s="495"/>
      <c r="BI267" s="495"/>
      <c r="BJ267" s="495"/>
      <c r="BK267" s="495"/>
      <c r="BL267" s="495"/>
    </row>
    <row r="268" spans="1:64" ht="12">
      <c r="A268" s="495"/>
      <c r="B268" s="495"/>
      <c r="C268" s="495"/>
      <c r="D268" s="495"/>
      <c r="E268" s="495"/>
      <c r="F268" s="495"/>
      <c r="G268" s="495"/>
      <c r="H268" s="495"/>
      <c r="I268" s="495"/>
      <c r="J268" s="495"/>
      <c r="K268" s="495"/>
      <c r="L268" s="495"/>
      <c r="M268" s="495"/>
      <c r="N268" s="495"/>
      <c r="O268" s="495"/>
      <c r="P268" s="495"/>
      <c r="Q268" s="495"/>
      <c r="R268" s="495"/>
      <c r="S268" s="495"/>
      <c r="T268" s="495"/>
      <c r="U268" s="495"/>
      <c r="V268" s="495"/>
      <c r="W268" s="495"/>
      <c r="X268" s="495"/>
      <c r="Y268" s="495"/>
      <c r="Z268" s="495"/>
      <c r="AA268" s="495"/>
      <c r="AB268" s="495"/>
      <c r="AC268" s="495"/>
      <c r="AD268" s="495"/>
      <c r="AE268" s="495"/>
      <c r="AF268" s="495"/>
      <c r="AG268" s="495"/>
      <c r="AH268" s="495"/>
      <c r="AI268" s="495"/>
      <c r="AJ268" s="495"/>
      <c r="AK268" s="495"/>
      <c r="AL268" s="495"/>
      <c r="AM268" s="495"/>
      <c r="AN268" s="495"/>
      <c r="AO268" s="495"/>
      <c r="AP268" s="495"/>
      <c r="AQ268" s="495"/>
      <c r="AR268" s="495"/>
      <c r="AS268" s="495"/>
      <c r="AT268" s="495"/>
      <c r="AU268" s="495"/>
      <c r="AV268" s="495"/>
      <c r="AW268" s="495"/>
      <c r="AX268" s="495"/>
      <c r="AY268" s="495"/>
      <c r="AZ268" s="495"/>
      <c r="BA268" s="495"/>
      <c r="BB268" s="495"/>
      <c r="BC268" s="495"/>
      <c r="BD268" s="495"/>
      <c r="BE268" s="495"/>
      <c r="BF268" s="495"/>
      <c r="BG268" s="495"/>
      <c r="BH268" s="495"/>
      <c r="BI268" s="495"/>
      <c r="BJ268" s="495"/>
      <c r="BK268" s="495"/>
      <c r="BL268" s="495"/>
    </row>
    <row r="269" spans="1:64" ht="12">
      <c r="A269" s="495"/>
      <c r="B269" s="495"/>
      <c r="C269" s="495"/>
      <c r="D269" s="495"/>
      <c r="E269" s="495"/>
      <c r="F269" s="495"/>
      <c r="G269" s="495"/>
      <c r="H269" s="495"/>
      <c r="I269" s="495"/>
      <c r="J269" s="495"/>
      <c r="K269" s="495"/>
      <c r="L269" s="495"/>
      <c r="M269" s="495"/>
      <c r="N269" s="495"/>
      <c r="O269" s="495"/>
      <c r="P269" s="495"/>
      <c r="Q269" s="495"/>
      <c r="R269" s="495"/>
      <c r="S269" s="495"/>
      <c r="T269" s="495"/>
      <c r="U269" s="495"/>
      <c r="V269" s="495"/>
      <c r="W269" s="495"/>
      <c r="X269" s="495"/>
      <c r="Y269" s="495"/>
      <c r="Z269" s="495"/>
      <c r="AA269" s="495"/>
      <c r="AB269" s="495"/>
      <c r="AC269" s="495"/>
      <c r="AD269" s="495"/>
      <c r="AE269" s="495"/>
      <c r="AF269" s="495"/>
      <c r="AG269" s="495"/>
      <c r="AH269" s="495"/>
      <c r="AI269" s="495"/>
      <c r="AJ269" s="495"/>
      <c r="AK269" s="495"/>
      <c r="AL269" s="495"/>
      <c r="AM269" s="495"/>
      <c r="AN269" s="495"/>
      <c r="AO269" s="495"/>
      <c r="AP269" s="495"/>
      <c r="AQ269" s="495"/>
      <c r="AR269" s="495"/>
      <c r="AS269" s="495"/>
      <c r="AT269" s="495"/>
      <c r="AU269" s="495"/>
      <c r="AV269" s="495"/>
      <c r="AW269" s="495"/>
      <c r="AX269" s="495"/>
      <c r="AY269" s="495"/>
      <c r="AZ269" s="495"/>
      <c r="BA269" s="495"/>
      <c r="BB269" s="495"/>
      <c r="BC269" s="495"/>
      <c r="BD269" s="495"/>
      <c r="BE269" s="495"/>
      <c r="BF269" s="495"/>
      <c r="BG269" s="495"/>
      <c r="BH269" s="495"/>
      <c r="BI269" s="495"/>
      <c r="BJ269" s="495"/>
      <c r="BK269" s="495"/>
      <c r="BL269" s="495"/>
    </row>
    <row r="270" spans="1:64" ht="12">
      <c r="A270" s="495"/>
      <c r="B270" s="495"/>
      <c r="C270" s="495"/>
      <c r="D270" s="495"/>
      <c r="E270" s="495"/>
      <c r="F270" s="495"/>
      <c r="G270" s="495"/>
      <c r="H270" s="495"/>
      <c r="I270" s="495"/>
      <c r="J270" s="495"/>
      <c r="K270" s="495"/>
      <c r="L270" s="495"/>
      <c r="M270" s="495"/>
      <c r="N270" s="495"/>
      <c r="O270" s="495"/>
      <c r="P270" s="495"/>
      <c r="Q270" s="495"/>
      <c r="R270" s="495"/>
      <c r="S270" s="495"/>
      <c r="T270" s="495"/>
      <c r="U270" s="495"/>
      <c r="V270" s="495"/>
      <c r="W270" s="495"/>
      <c r="X270" s="495"/>
      <c r="Y270" s="495"/>
      <c r="Z270" s="495"/>
      <c r="AA270" s="495"/>
      <c r="AB270" s="495"/>
      <c r="AC270" s="495"/>
      <c r="AD270" s="495"/>
      <c r="AE270" s="495"/>
      <c r="AF270" s="495"/>
      <c r="AG270" s="495"/>
      <c r="AH270" s="495"/>
      <c r="AI270" s="495"/>
      <c r="AJ270" s="495"/>
      <c r="AK270" s="495"/>
      <c r="AL270" s="495"/>
      <c r="AM270" s="495"/>
      <c r="AN270" s="495"/>
      <c r="AO270" s="495"/>
      <c r="AP270" s="495"/>
      <c r="AQ270" s="495"/>
      <c r="AR270" s="495"/>
      <c r="AS270" s="495"/>
      <c r="AT270" s="495"/>
      <c r="AU270" s="495"/>
      <c r="AV270" s="495"/>
      <c r="AW270" s="495"/>
      <c r="AX270" s="495"/>
      <c r="AY270" s="495"/>
      <c r="AZ270" s="495"/>
      <c r="BA270" s="495"/>
      <c r="BB270" s="495"/>
      <c r="BC270" s="495"/>
      <c r="BD270" s="495"/>
      <c r="BE270" s="495"/>
      <c r="BF270" s="495"/>
      <c r="BG270" s="495"/>
      <c r="BH270" s="495"/>
      <c r="BI270" s="495"/>
      <c r="BJ270" s="495"/>
      <c r="BK270" s="495"/>
      <c r="BL270" s="495"/>
    </row>
    <row r="271" spans="1:64" ht="12">
      <c r="A271" s="495"/>
      <c r="B271" s="495"/>
      <c r="C271" s="495"/>
      <c r="D271" s="495"/>
      <c r="E271" s="495"/>
      <c r="F271" s="495"/>
      <c r="G271" s="495"/>
      <c r="H271" s="495"/>
      <c r="I271" s="495"/>
      <c r="J271" s="495"/>
      <c r="K271" s="495"/>
      <c r="L271" s="495"/>
      <c r="M271" s="495"/>
      <c r="N271" s="495"/>
      <c r="O271" s="495"/>
      <c r="P271" s="495"/>
      <c r="Q271" s="495"/>
      <c r="R271" s="495"/>
      <c r="S271" s="495"/>
      <c r="T271" s="495"/>
      <c r="U271" s="495"/>
      <c r="V271" s="495"/>
      <c r="W271" s="495"/>
      <c r="X271" s="495"/>
      <c r="Y271" s="495"/>
      <c r="Z271" s="495"/>
      <c r="AA271" s="495"/>
      <c r="AB271" s="495"/>
      <c r="AC271" s="495"/>
      <c r="AD271" s="495"/>
      <c r="AE271" s="495"/>
      <c r="AF271" s="495"/>
      <c r="AG271" s="495"/>
      <c r="AH271" s="495"/>
      <c r="AI271" s="495"/>
      <c r="AJ271" s="495"/>
      <c r="AK271" s="495"/>
      <c r="AL271" s="495"/>
      <c r="AM271" s="495"/>
      <c r="AN271" s="495"/>
      <c r="AO271" s="495"/>
      <c r="AP271" s="495"/>
      <c r="AQ271" s="495"/>
      <c r="AR271" s="495"/>
      <c r="AS271" s="495"/>
      <c r="AT271" s="495"/>
      <c r="AU271" s="495"/>
      <c r="AV271" s="495"/>
      <c r="AW271" s="495"/>
      <c r="AX271" s="495"/>
      <c r="AY271" s="495"/>
      <c r="AZ271" s="495"/>
      <c r="BA271" s="495"/>
      <c r="BB271" s="495"/>
      <c r="BC271" s="495"/>
      <c r="BD271" s="495"/>
      <c r="BE271" s="495"/>
      <c r="BF271" s="495"/>
      <c r="BG271" s="495"/>
      <c r="BH271" s="495"/>
      <c r="BI271" s="495"/>
      <c r="BJ271" s="495"/>
      <c r="BK271" s="495"/>
      <c r="BL271" s="495"/>
    </row>
    <row r="272" spans="1:64" ht="12">
      <c r="A272" s="495"/>
      <c r="B272" s="495"/>
      <c r="C272" s="495"/>
      <c r="D272" s="495"/>
      <c r="E272" s="495"/>
      <c r="F272" s="495"/>
      <c r="G272" s="495"/>
      <c r="H272" s="495"/>
      <c r="I272" s="495"/>
      <c r="J272" s="495"/>
      <c r="K272" s="495"/>
      <c r="L272" s="495"/>
      <c r="M272" s="495"/>
      <c r="N272" s="495"/>
      <c r="O272" s="495"/>
      <c r="P272" s="495"/>
      <c r="Q272" s="495"/>
      <c r="R272" s="495"/>
      <c r="S272" s="495"/>
      <c r="T272" s="495"/>
      <c r="U272" s="495"/>
      <c r="V272" s="495"/>
      <c r="W272" s="495"/>
      <c r="X272" s="495"/>
      <c r="Y272" s="495"/>
      <c r="Z272" s="495"/>
      <c r="AA272" s="495"/>
      <c r="AB272" s="495"/>
      <c r="AC272" s="495"/>
      <c r="AD272" s="495"/>
      <c r="AE272" s="495"/>
      <c r="AF272" s="495"/>
      <c r="AG272" s="495"/>
      <c r="AH272" s="495"/>
      <c r="AI272" s="495"/>
      <c r="AJ272" s="495"/>
      <c r="AK272" s="495"/>
      <c r="AL272" s="495"/>
      <c r="AM272" s="495"/>
      <c r="AN272" s="495"/>
      <c r="AO272" s="495"/>
      <c r="AP272" s="495"/>
      <c r="AQ272" s="495"/>
      <c r="AR272" s="495"/>
      <c r="AS272" s="495"/>
      <c r="AT272" s="495"/>
      <c r="AU272" s="495"/>
      <c r="AV272" s="495"/>
      <c r="AW272" s="495"/>
      <c r="AX272" s="495"/>
      <c r="AY272" s="495"/>
      <c r="AZ272" s="495"/>
      <c r="BA272" s="495"/>
      <c r="BB272" s="495"/>
      <c r="BC272" s="495"/>
      <c r="BD272" s="495"/>
      <c r="BE272" s="495"/>
      <c r="BF272" s="495"/>
      <c r="BG272" s="495"/>
      <c r="BH272" s="495"/>
      <c r="BI272" s="495"/>
      <c r="BJ272" s="495"/>
      <c r="BK272" s="495"/>
      <c r="BL272" s="495"/>
    </row>
    <row r="273" spans="1:64" ht="12">
      <c r="A273" s="495"/>
      <c r="B273" s="495"/>
      <c r="C273" s="495"/>
      <c r="D273" s="495"/>
      <c r="E273" s="495"/>
      <c r="F273" s="495"/>
      <c r="G273" s="495"/>
      <c r="H273" s="495"/>
      <c r="I273" s="495"/>
      <c r="J273" s="495"/>
      <c r="K273" s="495"/>
      <c r="L273" s="495"/>
      <c r="M273" s="495"/>
      <c r="N273" s="495"/>
      <c r="O273" s="495"/>
      <c r="P273" s="495"/>
      <c r="Q273" s="495"/>
      <c r="R273" s="495"/>
      <c r="S273" s="495"/>
      <c r="T273" s="495"/>
      <c r="U273" s="495"/>
      <c r="V273" s="495"/>
      <c r="W273" s="495"/>
      <c r="X273" s="495"/>
      <c r="Y273" s="495"/>
      <c r="Z273" s="495"/>
      <c r="AA273" s="495"/>
      <c r="AB273" s="495"/>
      <c r="AC273" s="495"/>
      <c r="AD273" s="495"/>
      <c r="AE273" s="495"/>
      <c r="AF273" s="495"/>
      <c r="AG273" s="495"/>
      <c r="AH273" s="495"/>
      <c r="AI273" s="495"/>
      <c r="AJ273" s="495"/>
      <c r="AK273" s="495"/>
      <c r="AL273" s="495"/>
      <c r="AM273" s="495"/>
      <c r="AN273" s="495"/>
      <c r="AO273" s="495"/>
      <c r="AP273" s="495"/>
      <c r="AQ273" s="495"/>
      <c r="AR273" s="495"/>
      <c r="AS273" s="495"/>
      <c r="AT273" s="495"/>
      <c r="AU273" s="495"/>
      <c r="AV273" s="495"/>
      <c r="AW273" s="495"/>
      <c r="AX273" s="495"/>
      <c r="AY273" s="495"/>
      <c r="AZ273" s="495"/>
      <c r="BA273" s="495"/>
      <c r="BB273" s="495"/>
      <c r="BC273" s="495"/>
      <c r="BD273" s="495"/>
      <c r="BE273" s="495"/>
      <c r="BF273" s="495"/>
      <c r="BG273" s="495"/>
      <c r="BH273" s="495"/>
      <c r="BI273" s="495"/>
      <c r="BJ273" s="495"/>
      <c r="BK273" s="495"/>
      <c r="BL273" s="495"/>
    </row>
    <row r="274" spans="1:64" ht="12">
      <c r="A274" s="495"/>
      <c r="B274" s="495"/>
      <c r="C274" s="495"/>
      <c r="D274" s="495"/>
      <c r="E274" s="495"/>
      <c r="F274" s="495"/>
      <c r="G274" s="495"/>
      <c r="H274" s="495"/>
      <c r="I274" s="495"/>
      <c r="J274" s="495"/>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5"/>
      <c r="AG274" s="495"/>
      <c r="AH274" s="495"/>
      <c r="AI274" s="495"/>
      <c r="AJ274" s="495"/>
      <c r="AK274" s="495"/>
      <c r="AL274" s="495"/>
      <c r="AM274" s="495"/>
      <c r="AN274" s="495"/>
      <c r="AO274" s="495"/>
      <c r="AP274" s="495"/>
      <c r="AQ274" s="495"/>
      <c r="AR274" s="495"/>
      <c r="AS274" s="495"/>
      <c r="AT274" s="495"/>
      <c r="AU274" s="495"/>
      <c r="AV274" s="495"/>
      <c r="AW274" s="495"/>
      <c r="AX274" s="495"/>
      <c r="AY274" s="495"/>
      <c r="AZ274" s="495"/>
      <c r="BA274" s="495"/>
      <c r="BB274" s="495"/>
      <c r="BC274" s="495"/>
      <c r="BD274" s="495"/>
      <c r="BE274" s="495"/>
      <c r="BF274" s="495"/>
      <c r="BG274" s="495"/>
      <c r="BH274" s="495"/>
      <c r="BI274" s="495"/>
      <c r="BJ274" s="495"/>
      <c r="BK274" s="495"/>
      <c r="BL274" s="495"/>
    </row>
    <row r="275" spans="1:64" ht="12">
      <c r="A275" s="495"/>
      <c r="B275" s="495"/>
      <c r="C275" s="495"/>
      <c r="D275" s="495"/>
      <c r="E275" s="495"/>
      <c r="F275" s="495"/>
      <c r="G275" s="495"/>
      <c r="H275" s="495"/>
      <c r="I275" s="495"/>
      <c r="J275" s="495"/>
      <c r="K275" s="495"/>
      <c r="L275" s="495"/>
      <c r="M275" s="495"/>
      <c r="N275" s="495"/>
      <c r="O275" s="495"/>
      <c r="P275" s="495"/>
      <c r="Q275" s="495"/>
      <c r="R275" s="495"/>
      <c r="S275" s="495"/>
      <c r="T275" s="495"/>
      <c r="U275" s="495"/>
      <c r="V275" s="495"/>
      <c r="W275" s="495"/>
      <c r="X275" s="495"/>
      <c r="Y275" s="495"/>
      <c r="Z275" s="495"/>
      <c r="AA275" s="495"/>
      <c r="AB275" s="495"/>
      <c r="AC275" s="495"/>
      <c r="AD275" s="495"/>
      <c r="AE275" s="495"/>
      <c r="AF275" s="495"/>
      <c r="AG275" s="495"/>
      <c r="AH275" s="495"/>
      <c r="AI275" s="495"/>
      <c r="AJ275" s="495"/>
      <c r="AK275" s="495"/>
      <c r="AL275" s="495"/>
      <c r="AM275" s="495"/>
      <c r="AN275" s="495"/>
      <c r="AO275" s="495"/>
      <c r="AP275" s="495"/>
      <c r="AQ275" s="495"/>
      <c r="AR275" s="495"/>
      <c r="AS275" s="495"/>
      <c r="AT275" s="495"/>
      <c r="AU275" s="495"/>
      <c r="AV275" s="495"/>
      <c r="AW275" s="495"/>
      <c r="AX275" s="495"/>
      <c r="AY275" s="495"/>
      <c r="AZ275" s="495"/>
      <c r="BA275" s="495"/>
      <c r="BB275" s="495"/>
      <c r="BC275" s="495"/>
      <c r="BD275" s="495"/>
      <c r="BE275" s="495"/>
      <c r="BF275" s="495"/>
      <c r="BG275" s="495"/>
      <c r="BH275" s="495"/>
      <c r="BI275" s="495"/>
      <c r="BJ275" s="495"/>
      <c r="BK275" s="495"/>
      <c r="BL275" s="495"/>
    </row>
    <row r="276" spans="1:64" ht="12">
      <c r="A276" s="495"/>
      <c r="B276" s="495"/>
      <c r="C276" s="495"/>
      <c r="D276" s="495"/>
      <c r="E276" s="495"/>
      <c r="F276" s="495"/>
      <c r="G276" s="495"/>
      <c r="H276" s="495"/>
      <c r="I276" s="495"/>
      <c r="J276" s="495"/>
      <c r="K276" s="495"/>
      <c r="L276" s="495"/>
      <c r="M276" s="495"/>
      <c r="N276" s="495"/>
      <c r="O276" s="495"/>
      <c r="P276" s="495"/>
      <c r="Q276" s="495"/>
      <c r="R276" s="495"/>
      <c r="S276" s="495"/>
      <c r="T276" s="495"/>
      <c r="U276" s="495"/>
      <c r="V276" s="495"/>
      <c r="W276" s="495"/>
      <c r="X276" s="495"/>
      <c r="Y276" s="495"/>
      <c r="Z276" s="495"/>
      <c r="AA276" s="495"/>
      <c r="AB276" s="495"/>
      <c r="AC276" s="495"/>
      <c r="AD276" s="495"/>
      <c r="AE276" s="495"/>
      <c r="AF276" s="495"/>
      <c r="AG276" s="495"/>
      <c r="AH276" s="495"/>
      <c r="AI276" s="495"/>
      <c r="AJ276" s="495"/>
      <c r="AK276" s="495"/>
      <c r="AL276" s="495"/>
      <c r="AM276" s="495"/>
      <c r="AN276" s="495"/>
      <c r="AO276" s="495"/>
      <c r="AP276" s="495"/>
      <c r="AQ276" s="495"/>
      <c r="AR276" s="495"/>
      <c r="AS276" s="495"/>
      <c r="AT276" s="495"/>
      <c r="AU276" s="495"/>
      <c r="AV276" s="495"/>
      <c r="AW276" s="495"/>
      <c r="AX276" s="495"/>
      <c r="AY276" s="495"/>
      <c r="AZ276" s="495"/>
      <c r="BA276" s="495"/>
      <c r="BB276" s="495"/>
      <c r="BC276" s="495"/>
      <c r="BD276" s="495"/>
      <c r="BE276" s="495"/>
      <c r="BF276" s="495"/>
      <c r="BG276" s="495"/>
      <c r="BH276" s="495"/>
      <c r="BI276" s="495"/>
      <c r="BJ276" s="495"/>
      <c r="BK276" s="495"/>
      <c r="BL276" s="495"/>
    </row>
    <row r="277" spans="1:64" ht="12">
      <c r="A277" s="495"/>
      <c r="B277" s="495"/>
      <c r="C277" s="495"/>
      <c r="D277" s="495"/>
      <c r="E277" s="495"/>
      <c r="F277" s="495"/>
      <c r="G277" s="495"/>
      <c r="H277" s="495"/>
      <c r="I277" s="495"/>
      <c r="J277" s="495"/>
      <c r="K277" s="495"/>
      <c r="L277" s="495"/>
      <c r="M277" s="495"/>
      <c r="N277" s="495"/>
      <c r="O277" s="495"/>
      <c r="P277" s="495"/>
      <c r="Q277" s="495"/>
      <c r="R277" s="495"/>
      <c r="S277" s="495"/>
      <c r="T277" s="495"/>
      <c r="U277" s="495"/>
      <c r="V277" s="495"/>
      <c r="W277" s="495"/>
      <c r="X277" s="495"/>
      <c r="Y277" s="495"/>
      <c r="Z277" s="495"/>
      <c r="AA277" s="495"/>
      <c r="AB277" s="495"/>
      <c r="AC277" s="495"/>
      <c r="AD277" s="495"/>
      <c r="AE277" s="495"/>
      <c r="AF277" s="495"/>
      <c r="AG277" s="495"/>
      <c r="AH277" s="495"/>
      <c r="AI277" s="495"/>
      <c r="AJ277" s="495"/>
      <c r="AK277" s="495"/>
      <c r="AL277" s="495"/>
      <c r="AM277" s="495"/>
      <c r="AN277" s="495"/>
      <c r="AO277" s="495"/>
      <c r="AP277" s="495"/>
      <c r="AQ277" s="495"/>
      <c r="AR277" s="495"/>
      <c r="AS277" s="495"/>
      <c r="AT277" s="495"/>
      <c r="AU277" s="495"/>
      <c r="AV277" s="495"/>
      <c r="AW277" s="495"/>
      <c r="AX277" s="495"/>
      <c r="AY277" s="495"/>
      <c r="AZ277" s="495"/>
      <c r="BA277" s="495"/>
      <c r="BB277" s="495"/>
      <c r="BC277" s="495"/>
      <c r="BD277" s="495"/>
      <c r="BE277" s="495"/>
      <c r="BF277" s="495"/>
      <c r="BG277" s="495"/>
      <c r="BH277" s="495"/>
      <c r="BI277" s="495"/>
      <c r="BJ277" s="495"/>
      <c r="BK277" s="495"/>
      <c r="BL277" s="495"/>
    </row>
    <row r="278" spans="1:64" ht="12">
      <c r="A278" s="495"/>
      <c r="B278" s="495"/>
      <c r="C278" s="495"/>
      <c r="D278" s="495"/>
      <c r="E278" s="495"/>
      <c r="F278" s="495"/>
      <c r="G278" s="495"/>
      <c r="H278" s="495"/>
      <c r="I278" s="495"/>
      <c r="J278" s="495"/>
      <c r="K278" s="495"/>
      <c r="L278" s="495"/>
      <c r="M278" s="495"/>
      <c r="N278" s="495"/>
      <c r="O278" s="495"/>
      <c r="P278" s="495"/>
      <c r="Q278" s="495"/>
      <c r="R278" s="495"/>
      <c r="S278" s="495"/>
      <c r="T278" s="495"/>
      <c r="U278" s="495"/>
      <c r="V278" s="495"/>
      <c r="W278" s="495"/>
      <c r="X278" s="495"/>
      <c r="Y278" s="495"/>
      <c r="Z278" s="495"/>
      <c r="AA278" s="495"/>
      <c r="AB278" s="495"/>
      <c r="AC278" s="495"/>
      <c r="AD278" s="495"/>
      <c r="AE278" s="495"/>
      <c r="AF278" s="495"/>
      <c r="AG278" s="495"/>
      <c r="AH278" s="495"/>
      <c r="AI278" s="495"/>
      <c r="AJ278" s="495"/>
      <c r="AK278" s="495"/>
      <c r="AL278" s="495"/>
      <c r="AM278" s="495"/>
      <c r="AN278" s="495"/>
      <c r="AO278" s="495"/>
      <c r="AP278" s="495"/>
      <c r="AQ278" s="495"/>
      <c r="AR278" s="495"/>
      <c r="AS278" s="495"/>
      <c r="AT278" s="495"/>
      <c r="AU278" s="495"/>
      <c r="AV278" s="495"/>
      <c r="AW278" s="495"/>
      <c r="AX278" s="495"/>
      <c r="AY278" s="495"/>
      <c r="AZ278" s="495"/>
      <c r="BA278" s="495"/>
      <c r="BB278" s="495"/>
      <c r="BC278" s="495"/>
      <c r="BD278" s="495"/>
      <c r="BE278" s="495"/>
      <c r="BF278" s="495"/>
      <c r="BG278" s="495"/>
      <c r="BH278" s="495"/>
      <c r="BI278" s="495"/>
      <c r="BJ278" s="495"/>
      <c r="BK278" s="495"/>
      <c r="BL278" s="495"/>
    </row>
    <row r="279" spans="1:64" ht="12">
      <c r="A279" s="495"/>
      <c r="B279" s="495"/>
      <c r="C279" s="495"/>
      <c r="D279" s="495"/>
      <c r="E279" s="495"/>
      <c r="F279" s="495"/>
      <c r="G279" s="495"/>
      <c r="H279" s="495"/>
      <c r="I279" s="495"/>
      <c r="J279" s="495"/>
      <c r="K279" s="495"/>
      <c r="L279" s="495"/>
      <c r="M279" s="495"/>
      <c r="N279" s="495"/>
      <c r="O279" s="495"/>
      <c r="P279" s="495"/>
      <c r="Q279" s="495"/>
      <c r="R279" s="495"/>
      <c r="S279" s="495"/>
      <c r="T279" s="495"/>
      <c r="U279" s="495"/>
      <c r="V279" s="495"/>
      <c r="W279" s="495"/>
      <c r="X279" s="495"/>
      <c r="Y279" s="495"/>
      <c r="Z279" s="495"/>
      <c r="AA279" s="495"/>
      <c r="AB279" s="495"/>
      <c r="AC279" s="495"/>
      <c r="AD279" s="495"/>
      <c r="AE279" s="495"/>
      <c r="AF279" s="495"/>
      <c r="AG279" s="495"/>
      <c r="AH279" s="495"/>
      <c r="AI279" s="495"/>
      <c r="AJ279" s="495"/>
      <c r="AK279" s="495"/>
      <c r="AL279" s="495"/>
      <c r="AM279" s="495"/>
      <c r="AN279" s="495"/>
      <c r="AO279" s="495"/>
      <c r="AP279" s="495"/>
      <c r="AQ279" s="495"/>
      <c r="AR279" s="495"/>
      <c r="AS279" s="495"/>
      <c r="AT279" s="495"/>
      <c r="AU279" s="495"/>
      <c r="AV279" s="495"/>
      <c r="AW279" s="495"/>
      <c r="AX279" s="495"/>
      <c r="AY279" s="495"/>
      <c r="AZ279" s="495"/>
      <c r="BA279" s="495"/>
      <c r="BB279" s="495"/>
      <c r="BC279" s="495"/>
      <c r="BD279" s="495"/>
      <c r="BE279" s="495"/>
      <c r="BF279" s="495"/>
      <c r="BG279" s="495"/>
      <c r="BH279" s="495"/>
      <c r="BI279" s="495"/>
      <c r="BJ279" s="495"/>
      <c r="BK279" s="495"/>
      <c r="BL279" s="495"/>
    </row>
    <row r="280" spans="1:64" ht="12">
      <c r="A280" s="495"/>
      <c r="B280" s="495"/>
      <c r="C280" s="495"/>
      <c r="D280" s="495"/>
      <c r="E280" s="495"/>
      <c r="F280" s="495"/>
      <c r="G280" s="495"/>
      <c r="H280" s="495"/>
      <c r="I280" s="495"/>
      <c r="J280" s="495"/>
      <c r="K280" s="495"/>
      <c r="L280" s="495"/>
      <c r="M280" s="495"/>
      <c r="N280" s="495"/>
      <c r="O280" s="495"/>
      <c r="P280" s="495"/>
      <c r="Q280" s="495"/>
      <c r="R280" s="495"/>
      <c r="S280" s="495"/>
      <c r="T280" s="495"/>
      <c r="U280" s="495"/>
      <c r="V280" s="495"/>
      <c r="W280" s="495"/>
      <c r="X280" s="495"/>
      <c r="Y280" s="495"/>
      <c r="Z280" s="495"/>
      <c r="AA280" s="495"/>
      <c r="AB280" s="495"/>
      <c r="AC280" s="495"/>
      <c r="AD280" s="495"/>
      <c r="AE280" s="495"/>
      <c r="AF280" s="495"/>
      <c r="AG280" s="495"/>
      <c r="AH280" s="495"/>
      <c r="AI280" s="495"/>
      <c r="AJ280" s="495"/>
      <c r="AK280" s="495"/>
      <c r="AL280" s="495"/>
      <c r="AM280" s="495"/>
      <c r="AN280" s="495"/>
      <c r="AO280" s="495"/>
      <c r="AP280" s="495"/>
      <c r="AQ280" s="495"/>
      <c r="AR280" s="495"/>
      <c r="AS280" s="495"/>
      <c r="AT280" s="495"/>
      <c r="AU280" s="495"/>
      <c r="AV280" s="495"/>
      <c r="AW280" s="495"/>
      <c r="AX280" s="495"/>
      <c r="AY280" s="495"/>
      <c r="AZ280" s="495"/>
      <c r="BA280" s="495"/>
      <c r="BB280" s="495"/>
      <c r="BC280" s="495"/>
      <c r="BD280" s="495"/>
      <c r="BE280" s="495"/>
      <c r="BF280" s="495"/>
      <c r="BG280" s="495"/>
      <c r="BH280" s="495"/>
      <c r="BI280" s="495"/>
      <c r="BJ280" s="495"/>
      <c r="BK280" s="495"/>
      <c r="BL280" s="495"/>
    </row>
    <row r="281" spans="1:64" ht="12">
      <c r="A281" s="495"/>
      <c r="B281" s="495"/>
      <c r="C281" s="495"/>
      <c r="D281" s="495"/>
      <c r="E281" s="495"/>
      <c r="F281" s="495"/>
      <c r="G281" s="495"/>
      <c r="H281" s="495"/>
      <c r="I281" s="495"/>
      <c r="J281" s="495"/>
      <c r="K281" s="495"/>
      <c r="L281" s="495"/>
      <c r="M281" s="495"/>
      <c r="N281" s="495"/>
      <c r="O281" s="495"/>
      <c r="P281" s="495"/>
      <c r="Q281" s="495"/>
      <c r="R281" s="495"/>
      <c r="S281" s="495"/>
      <c r="T281" s="495"/>
      <c r="U281" s="495"/>
      <c r="V281" s="495"/>
      <c r="W281" s="495"/>
      <c r="X281" s="495"/>
      <c r="Y281" s="495"/>
      <c r="Z281" s="495"/>
      <c r="AA281" s="495"/>
      <c r="AB281" s="495"/>
      <c r="AC281" s="495"/>
      <c r="AD281" s="495"/>
      <c r="AE281" s="495"/>
      <c r="AF281" s="495"/>
      <c r="AG281" s="495"/>
      <c r="AH281" s="495"/>
      <c r="AI281" s="495"/>
      <c r="AJ281" s="495"/>
      <c r="AK281" s="495"/>
      <c r="AL281" s="495"/>
      <c r="AM281" s="495"/>
      <c r="AN281" s="495"/>
      <c r="AO281" s="495"/>
      <c r="AP281" s="495"/>
      <c r="AQ281" s="495"/>
      <c r="AR281" s="495"/>
      <c r="AS281" s="495"/>
      <c r="AT281" s="495"/>
      <c r="AU281" s="495"/>
      <c r="AV281" s="495"/>
      <c r="AW281" s="495"/>
      <c r="AX281" s="495"/>
      <c r="AY281" s="495"/>
      <c r="AZ281" s="495"/>
      <c r="BA281" s="495"/>
      <c r="BB281" s="495"/>
      <c r="BC281" s="495"/>
      <c r="BD281" s="495"/>
      <c r="BE281" s="495"/>
      <c r="BF281" s="495"/>
      <c r="BG281" s="495"/>
      <c r="BH281" s="495"/>
      <c r="BI281" s="495"/>
      <c r="BJ281" s="495"/>
      <c r="BK281" s="495"/>
      <c r="BL281" s="495"/>
    </row>
    <row r="282" spans="1:64" ht="12">
      <c r="A282" s="495"/>
      <c r="B282" s="495"/>
      <c r="C282" s="495"/>
      <c r="D282" s="495"/>
      <c r="E282" s="495"/>
      <c r="F282" s="495"/>
      <c r="G282" s="495"/>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c r="AG282" s="495"/>
      <c r="AH282" s="495"/>
      <c r="AI282" s="495"/>
      <c r="AJ282" s="495"/>
      <c r="AK282" s="495"/>
      <c r="AL282" s="495"/>
      <c r="AM282" s="495"/>
      <c r="AN282" s="495"/>
      <c r="AO282" s="495"/>
      <c r="AP282" s="495"/>
      <c r="AQ282" s="495"/>
      <c r="AR282" s="495"/>
      <c r="AS282" s="495"/>
      <c r="AT282" s="495"/>
      <c r="AU282" s="495"/>
      <c r="AV282" s="495"/>
      <c r="AW282" s="495"/>
      <c r="AX282" s="495"/>
      <c r="AY282" s="495"/>
      <c r="AZ282" s="495"/>
      <c r="BA282" s="495"/>
      <c r="BB282" s="495"/>
      <c r="BC282" s="495"/>
      <c r="BD282" s="495"/>
      <c r="BE282" s="495"/>
      <c r="BF282" s="495"/>
      <c r="BG282" s="495"/>
      <c r="BH282" s="495"/>
      <c r="BI282" s="495"/>
      <c r="BJ282" s="495"/>
      <c r="BK282" s="495"/>
      <c r="BL282" s="495"/>
    </row>
    <row r="283" spans="1:64" ht="12">
      <c r="A283" s="495"/>
      <c r="B283" s="495"/>
      <c r="C283" s="495"/>
      <c r="D283" s="495"/>
      <c r="E283" s="495"/>
      <c r="F283" s="495"/>
      <c r="G283" s="495"/>
      <c r="H283" s="495"/>
      <c r="I283" s="495"/>
      <c r="J283" s="495"/>
      <c r="K283" s="495"/>
      <c r="L283" s="495"/>
      <c r="M283" s="495"/>
      <c r="N283" s="495"/>
      <c r="O283" s="495"/>
      <c r="P283" s="495"/>
      <c r="Q283" s="495"/>
      <c r="R283" s="495"/>
      <c r="S283" s="495"/>
      <c r="T283" s="495"/>
      <c r="U283" s="495"/>
      <c r="V283" s="495"/>
      <c r="W283" s="495"/>
      <c r="X283" s="495"/>
      <c r="Y283" s="495"/>
      <c r="Z283" s="495"/>
      <c r="AA283" s="495"/>
      <c r="AB283" s="495"/>
      <c r="AC283" s="495"/>
      <c r="AD283" s="495"/>
      <c r="AE283" s="495"/>
      <c r="AF283" s="495"/>
      <c r="AG283" s="495"/>
      <c r="AH283" s="495"/>
      <c r="AI283" s="495"/>
      <c r="AJ283" s="495"/>
      <c r="AK283" s="495"/>
      <c r="AL283" s="495"/>
      <c r="AM283" s="495"/>
      <c r="AN283" s="495"/>
      <c r="AO283" s="495"/>
      <c r="AP283" s="495"/>
      <c r="AQ283" s="495"/>
      <c r="AR283" s="495"/>
      <c r="AS283" s="495"/>
      <c r="AT283" s="495"/>
      <c r="AU283" s="495"/>
      <c r="AV283" s="495"/>
      <c r="AW283" s="495"/>
      <c r="AX283" s="495"/>
      <c r="AY283" s="495"/>
      <c r="AZ283" s="495"/>
      <c r="BA283" s="495"/>
      <c r="BB283" s="495"/>
      <c r="BC283" s="495"/>
      <c r="BD283" s="495"/>
      <c r="BE283" s="495"/>
      <c r="BF283" s="495"/>
      <c r="BG283" s="495"/>
      <c r="BH283" s="495"/>
      <c r="BI283" s="495"/>
      <c r="BJ283" s="495"/>
      <c r="BK283" s="495"/>
      <c r="BL283" s="495"/>
    </row>
    <row r="284" spans="1:64" ht="12">
      <c r="A284" s="495"/>
      <c r="B284" s="495"/>
      <c r="C284" s="495"/>
      <c r="D284" s="495"/>
      <c r="E284" s="495"/>
      <c r="F284" s="495"/>
      <c r="G284" s="495"/>
      <c r="H284" s="495"/>
      <c r="I284" s="495"/>
      <c r="J284" s="495"/>
      <c r="K284" s="495"/>
      <c r="L284" s="495"/>
      <c r="M284" s="495"/>
      <c r="N284" s="495"/>
      <c r="O284" s="495"/>
      <c r="P284" s="495"/>
      <c r="Q284" s="495"/>
      <c r="R284" s="495"/>
      <c r="S284" s="495"/>
      <c r="T284" s="495"/>
      <c r="U284" s="495"/>
      <c r="V284" s="495"/>
      <c r="W284" s="495"/>
      <c r="X284" s="495"/>
      <c r="Y284" s="495"/>
      <c r="Z284" s="495"/>
      <c r="AA284" s="495"/>
      <c r="AB284" s="495"/>
      <c r="AC284" s="495"/>
      <c r="AD284" s="495"/>
      <c r="AE284" s="495"/>
      <c r="AF284" s="495"/>
      <c r="AG284" s="495"/>
      <c r="AH284" s="495"/>
      <c r="AI284" s="495"/>
      <c r="AJ284" s="495"/>
      <c r="AK284" s="495"/>
      <c r="AL284" s="495"/>
      <c r="AM284" s="495"/>
      <c r="AN284" s="495"/>
      <c r="AO284" s="495"/>
      <c r="AP284" s="495"/>
      <c r="AQ284" s="495"/>
      <c r="AR284" s="495"/>
      <c r="AS284" s="495"/>
      <c r="AT284" s="495"/>
      <c r="AU284" s="495"/>
      <c r="AV284" s="495"/>
      <c r="AW284" s="495"/>
      <c r="AX284" s="495"/>
      <c r="AY284" s="495"/>
      <c r="AZ284" s="495"/>
      <c r="BA284" s="495"/>
      <c r="BB284" s="495"/>
      <c r="BC284" s="495"/>
      <c r="BD284" s="495"/>
      <c r="BE284" s="495"/>
      <c r="BF284" s="495"/>
      <c r="BG284" s="495"/>
      <c r="BH284" s="495"/>
      <c r="BI284" s="495"/>
      <c r="BJ284" s="495"/>
      <c r="BK284" s="495"/>
      <c r="BL284" s="495"/>
    </row>
    <row r="285" spans="1:64" ht="12">
      <c r="A285" s="495"/>
      <c r="B285" s="495"/>
      <c r="C285" s="495"/>
      <c r="D285" s="495"/>
      <c r="E285" s="495"/>
      <c r="F285" s="495"/>
      <c r="G285" s="495"/>
      <c r="H285" s="495"/>
      <c r="I285" s="495"/>
      <c r="J285" s="495"/>
      <c r="K285" s="495"/>
      <c r="L285" s="495"/>
      <c r="M285" s="495"/>
      <c r="N285" s="495"/>
      <c r="O285" s="495"/>
      <c r="P285" s="495"/>
      <c r="Q285" s="495"/>
      <c r="R285" s="495"/>
      <c r="S285" s="495"/>
      <c r="T285" s="495"/>
      <c r="U285" s="495"/>
      <c r="V285" s="495"/>
      <c r="W285" s="495"/>
      <c r="X285" s="495"/>
      <c r="Y285" s="495"/>
      <c r="Z285" s="495"/>
      <c r="AA285" s="495"/>
      <c r="AB285" s="495"/>
      <c r="AC285" s="495"/>
      <c r="AD285" s="495"/>
      <c r="AE285" s="495"/>
      <c r="AF285" s="495"/>
      <c r="AG285" s="495"/>
      <c r="AH285" s="495"/>
      <c r="AI285" s="495"/>
      <c r="AJ285" s="495"/>
      <c r="AK285" s="495"/>
      <c r="AL285" s="495"/>
      <c r="AM285" s="495"/>
      <c r="AN285" s="495"/>
      <c r="AO285" s="495"/>
      <c r="AP285" s="495"/>
      <c r="AQ285" s="495"/>
      <c r="AR285" s="495"/>
      <c r="AS285" s="495"/>
      <c r="AT285" s="495"/>
      <c r="AU285" s="495"/>
      <c r="AV285" s="495"/>
      <c r="AW285" s="495"/>
      <c r="AX285" s="495"/>
      <c r="AY285" s="495"/>
      <c r="AZ285" s="495"/>
      <c r="BA285" s="495"/>
      <c r="BB285" s="495"/>
      <c r="BC285" s="495"/>
      <c r="BD285" s="495"/>
      <c r="BE285" s="495"/>
      <c r="BF285" s="495"/>
      <c r="BG285" s="495"/>
      <c r="BH285" s="495"/>
      <c r="BI285" s="495"/>
      <c r="BJ285" s="495"/>
      <c r="BK285" s="495"/>
      <c r="BL285" s="495"/>
    </row>
    <row r="286" spans="1:64" ht="12">
      <c r="A286" s="495"/>
      <c r="B286" s="495"/>
      <c r="C286" s="495"/>
      <c r="D286" s="495"/>
      <c r="E286" s="495"/>
      <c r="F286" s="495"/>
      <c r="G286" s="495"/>
      <c r="H286" s="495"/>
      <c r="I286" s="495"/>
      <c r="J286" s="495"/>
      <c r="K286" s="495"/>
      <c r="L286" s="495"/>
      <c r="M286" s="495"/>
      <c r="N286" s="495"/>
      <c r="O286" s="495"/>
      <c r="P286" s="495"/>
      <c r="Q286" s="495"/>
      <c r="R286" s="495"/>
      <c r="S286" s="495"/>
      <c r="T286" s="495"/>
      <c r="U286" s="495"/>
      <c r="V286" s="495"/>
      <c r="W286" s="495"/>
      <c r="X286" s="495"/>
      <c r="Y286" s="495"/>
      <c r="Z286" s="495"/>
      <c r="AA286" s="495"/>
      <c r="AB286" s="495"/>
      <c r="AC286" s="495"/>
      <c r="AD286" s="495"/>
      <c r="AE286" s="495"/>
      <c r="AF286" s="495"/>
      <c r="AG286" s="495"/>
      <c r="AH286" s="495"/>
      <c r="AI286" s="495"/>
      <c r="AJ286" s="495"/>
      <c r="AK286" s="495"/>
      <c r="AL286" s="495"/>
      <c r="AM286" s="495"/>
      <c r="AN286" s="495"/>
      <c r="AO286" s="495"/>
      <c r="AP286" s="495"/>
      <c r="AQ286" s="495"/>
      <c r="AR286" s="495"/>
      <c r="AS286" s="495"/>
      <c r="AT286" s="495"/>
      <c r="AU286" s="495"/>
      <c r="AV286" s="495"/>
      <c r="AW286" s="495"/>
      <c r="AX286" s="495"/>
      <c r="AY286" s="495"/>
      <c r="AZ286" s="495"/>
      <c r="BA286" s="495"/>
      <c r="BB286" s="495"/>
      <c r="BC286" s="495"/>
      <c r="BD286" s="495"/>
      <c r="BE286" s="495"/>
      <c r="BF286" s="495"/>
      <c r="BG286" s="495"/>
      <c r="BH286" s="495"/>
      <c r="BI286" s="495"/>
      <c r="BJ286" s="495"/>
      <c r="BK286" s="495"/>
      <c r="BL286" s="495"/>
    </row>
    <row r="287" spans="1:64" ht="12">
      <c r="A287" s="495"/>
      <c r="B287" s="495"/>
      <c r="C287" s="495"/>
      <c r="D287" s="495"/>
      <c r="E287" s="495"/>
      <c r="F287" s="495"/>
      <c r="G287" s="495"/>
      <c r="H287" s="495"/>
      <c r="I287" s="495"/>
      <c r="J287" s="495"/>
      <c r="K287" s="495"/>
      <c r="L287" s="495"/>
      <c r="M287" s="495"/>
      <c r="N287" s="495"/>
      <c r="O287" s="495"/>
      <c r="P287" s="495"/>
      <c r="Q287" s="495"/>
      <c r="R287" s="495"/>
      <c r="S287" s="495"/>
      <c r="T287" s="495"/>
      <c r="U287" s="495"/>
      <c r="V287" s="495"/>
      <c r="W287" s="495"/>
      <c r="X287" s="495"/>
      <c r="Y287" s="495"/>
      <c r="Z287" s="495"/>
      <c r="AA287" s="495"/>
      <c r="AB287" s="495"/>
      <c r="AC287" s="495"/>
      <c r="AD287" s="495"/>
      <c r="AE287" s="495"/>
      <c r="AF287" s="495"/>
      <c r="AG287" s="495"/>
      <c r="AH287" s="495"/>
      <c r="AI287" s="495"/>
      <c r="AJ287" s="495"/>
      <c r="AK287" s="495"/>
      <c r="AL287" s="495"/>
      <c r="AM287" s="495"/>
      <c r="AN287" s="495"/>
      <c r="AO287" s="495"/>
      <c r="AP287" s="495"/>
      <c r="AQ287" s="495"/>
      <c r="AR287" s="495"/>
      <c r="AS287" s="495"/>
      <c r="AT287" s="495"/>
      <c r="AU287" s="495"/>
      <c r="AV287" s="495"/>
      <c r="AW287" s="495"/>
      <c r="AX287" s="495"/>
      <c r="AY287" s="495"/>
      <c r="AZ287" s="495"/>
      <c r="BA287" s="495"/>
      <c r="BB287" s="495"/>
      <c r="BC287" s="495"/>
      <c r="BD287" s="495"/>
      <c r="BE287" s="495"/>
      <c r="BF287" s="495"/>
      <c r="BG287" s="495"/>
      <c r="BH287" s="495"/>
      <c r="BI287" s="495"/>
      <c r="BJ287" s="495"/>
      <c r="BK287" s="495"/>
      <c r="BL287" s="495"/>
    </row>
    <row r="288" spans="1:64" ht="12">
      <c r="A288" s="495"/>
      <c r="B288" s="495"/>
      <c r="C288" s="495"/>
      <c r="D288" s="495"/>
      <c r="E288" s="495"/>
      <c r="F288" s="495"/>
      <c r="G288" s="495"/>
      <c r="H288" s="495"/>
      <c r="I288" s="495"/>
      <c r="J288" s="495"/>
      <c r="K288" s="495"/>
      <c r="L288" s="495"/>
      <c r="M288" s="495"/>
      <c r="N288" s="495"/>
      <c r="O288" s="495"/>
      <c r="P288" s="495"/>
      <c r="Q288" s="495"/>
      <c r="R288" s="495"/>
      <c r="S288" s="495"/>
      <c r="T288" s="495"/>
      <c r="U288" s="495"/>
      <c r="V288" s="495"/>
      <c r="W288" s="495"/>
      <c r="X288" s="495"/>
      <c r="Y288" s="495"/>
      <c r="Z288" s="495"/>
      <c r="AA288" s="495"/>
      <c r="AB288" s="495"/>
      <c r="AC288" s="495"/>
      <c r="AD288" s="495"/>
      <c r="AE288" s="495"/>
      <c r="AF288" s="495"/>
      <c r="AG288" s="495"/>
      <c r="AH288" s="495"/>
      <c r="AI288" s="495"/>
      <c r="AJ288" s="495"/>
      <c r="AK288" s="495"/>
      <c r="AL288" s="495"/>
      <c r="AM288" s="495"/>
      <c r="AN288" s="495"/>
      <c r="AO288" s="495"/>
      <c r="AP288" s="495"/>
      <c r="AQ288" s="495"/>
      <c r="AR288" s="495"/>
      <c r="AS288" s="495"/>
      <c r="AT288" s="495"/>
      <c r="AU288" s="495"/>
      <c r="AV288" s="495"/>
      <c r="AW288" s="495"/>
      <c r="AX288" s="495"/>
      <c r="AY288" s="495"/>
      <c r="AZ288" s="495"/>
      <c r="BA288" s="495"/>
      <c r="BB288" s="495"/>
      <c r="BC288" s="495"/>
      <c r="BD288" s="495"/>
      <c r="BE288" s="495"/>
      <c r="BF288" s="495"/>
      <c r="BG288" s="495"/>
      <c r="BH288" s="495"/>
      <c r="BI288" s="495"/>
      <c r="BJ288" s="495"/>
      <c r="BK288" s="495"/>
      <c r="BL288" s="495"/>
    </row>
    <row r="289" spans="1:64" ht="12">
      <c r="A289" s="495"/>
      <c r="B289" s="495"/>
      <c r="C289" s="495"/>
      <c r="D289" s="495"/>
      <c r="E289" s="495"/>
      <c r="F289" s="495"/>
      <c r="G289" s="495"/>
      <c r="H289" s="495"/>
      <c r="I289" s="495"/>
      <c r="J289" s="495"/>
      <c r="K289" s="495"/>
      <c r="L289" s="495"/>
      <c r="M289" s="495"/>
      <c r="N289" s="495"/>
      <c r="O289" s="495"/>
      <c r="P289" s="495"/>
      <c r="Q289" s="495"/>
      <c r="R289" s="495"/>
      <c r="S289" s="495"/>
      <c r="T289" s="495"/>
      <c r="U289" s="495"/>
      <c r="V289" s="495"/>
      <c r="W289" s="495"/>
      <c r="X289" s="495"/>
      <c r="Y289" s="495"/>
      <c r="Z289" s="495"/>
      <c r="AA289" s="495"/>
      <c r="AB289" s="495"/>
      <c r="AC289" s="495"/>
      <c r="AD289" s="495"/>
      <c r="AE289" s="495"/>
      <c r="AF289" s="495"/>
      <c r="AG289" s="495"/>
      <c r="AH289" s="495"/>
      <c r="AI289" s="495"/>
      <c r="AJ289" s="495"/>
      <c r="AK289" s="495"/>
      <c r="AL289" s="495"/>
      <c r="AM289" s="495"/>
      <c r="AN289" s="495"/>
      <c r="AO289" s="495"/>
      <c r="AP289" s="495"/>
      <c r="AQ289" s="495"/>
      <c r="AR289" s="495"/>
      <c r="AS289" s="495"/>
      <c r="AT289" s="495"/>
      <c r="AU289" s="495"/>
      <c r="AV289" s="495"/>
      <c r="AW289" s="495"/>
      <c r="AX289" s="495"/>
      <c r="AY289" s="495"/>
      <c r="AZ289" s="495"/>
      <c r="BA289" s="495"/>
      <c r="BB289" s="495"/>
      <c r="BC289" s="495"/>
      <c r="BD289" s="495"/>
      <c r="BE289" s="495"/>
      <c r="BF289" s="495"/>
      <c r="BG289" s="495"/>
      <c r="BH289" s="495"/>
      <c r="BI289" s="495"/>
      <c r="BJ289" s="495"/>
      <c r="BK289" s="495"/>
      <c r="BL289" s="495"/>
    </row>
    <row r="290" spans="1:64" ht="12">
      <c r="A290" s="495"/>
      <c r="B290" s="495"/>
      <c r="C290" s="495"/>
      <c r="D290" s="495"/>
      <c r="E290" s="495"/>
      <c r="F290" s="495"/>
      <c r="G290" s="495"/>
      <c r="H290" s="495"/>
      <c r="I290" s="495"/>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c r="AG290" s="495"/>
      <c r="AH290" s="495"/>
      <c r="AI290" s="495"/>
      <c r="AJ290" s="495"/>
      <c r="AK290" s="495"/>
      <c r="AL290" s="495"/>
      <c r="AM290" s="495"/>
      <c r="AN290" s="495"/>
      <c r="AO290" s="495"/>
      <c r="AP290" s="495"/>
      <c r="AQ290" s="495"/>
      <c r="AR290" s="495"/>
      <c r="AS290" s="495"/>
      <c r="AT290" s="495"/>
      <c r="AU290" s="495"/>
      <c r="AV290" s="495"/>
      <c r="AW290" s="495"/>
      <c r="AX290" s="495"/>
      <c r="AY290" s="495"/>
      <c r="AZ290" s="495"/>
      <c r="BA290" s="495"/>
      <c r="BB290" s="495"/>
      <c r="BC290" s="495"/>
      <c r="BD290" s="495"/>
      <c r="BE290" s="495"/>
      <c r="BF290" s="495"/>
      <c r="BG290" s="495"/>
      <c r="BH290" s="495"/>
      <c r="BI290" s="495"/>
      <c r="BJ290" s="495"/>
      <c r="BK290" s="495"/>
      <c r="BL290" s="495"/>
    </row>
    <row r="291" spans="1:64" ht="12">
      <c r="A291" s="495"/>
      <c r="B291" s="495"/>
      <c r="C291" s="495"/>
      <c r="D291" s="495"/>
      <c r="E291" s="495"/>
      <c r="F291" s="495"/>
      <c r="G291" s="495"/>
      <c r="H291" s="495"/>
      <c r="I291" s="495"/>
      <c r="J291" s="495"/>
      <c r="K291" s="495"/>
      <c r="L291" s="495"/>
      <c r="M291" s="495"/>
      <c r="N291" s="495"/>
      <c r="O291" s="495"/>
      <c r="P291" s="495"/>
      <c r="Q291" s="495"/>
      <c r="R291" s="495"/>
      <c r="S291" s="495"/>
      <c r="T291" s="495"/>
      <c r="U291" s="495"/>
      <c r="V291" s="495"/>
      <c r="W291" s="495"/>
      <c r="X291" s="495"/>
      <c r="Y291" s="495"/>
      <c r="Z291" s="495"/>
      <c r="AA291" s="495"/>
      <c r="AB291" s="495"/>
      <c r="AC291" s="495"/>
      <c r="AD291" s="495"/>
      <c r="AE291" s="495"/>
      <c r="AF291" s="495"/>
      <c r="AG291" s="495"/>
      <c r="AH291" s="495"/>
      <c r="AI291" s="495"/>
      <c r="AJ291" s="495"/>
      <c r="AK291" s="495"/>
      <c r="AL291" s="495"/>
      <c r="AM291" s="495"/>
      <c r="AN291" s="495"/>
      <c r="AO291" s="495"/>
      <c r="AP291" s="495"/>
      <c r="AQ291" s="495"/>
      <c r="AR291" s="495"/>
      <c r="AS291" s="495"/>
      <c r="AT291" s="495"/>
      <c r="AU291" s="495"/>
      <c r="AV291" s="495"/>
      <c r="AW291" s="495"/>
      <c r="AX291" s="495"/>
      <c r="AY291" s="495"/>
      <c r="AZ291" s="495"/>
      <c r="BA291" s="495"/>
      <c r="BB291" s="495"/>
      <c r="BC291" s="495"/>
      <c r="BD291" s="495"/>
      <c r="BE291" s="495"/>
      <c r="BF291" s="495"/>
      <c r="BG291" s="495"/>
      <c r="BH291" s="495"/>
      <c r="BI291" s="495"/>
      <c r="BJ291" s="495"/>
      <c r="BK291" s="495"/>
      <c r="BL291" s="495"/>
    </row>
    <row r="292" spans="1:64" ht="12">
      <c r="A292" s="495"/>
      <c r="B292" s="495"/>
      <c r="C292" s="495"/>
      <c r="D292" s="495"/>
      <c r="E292" s="495"/>
      <c r="F292" s="495"/>
      <c r="G292" s="495"/>
      <c r="H292" s="495"/>
      <c r="I292" s="495"/>
      <c r="J292" s="495"/>
      <c r="K292" s="495"/>
      <c r="L292" s="495"/>
      <c r="M292" s="495"/>
      <c r="N292" s="495"/>
      <c r="O292" s="495"/>
      <c r="P292" s="495"/>
      <c r="Q292" s="495"/>
      <c r="R292" s="495"/>
      <c r="S292" s="495"/>
      <c r="T292" s="495"/>
      <c r="U292" s="495"/>
      <c r="V292" s="495"/>
      <c r="W292" s="495"/>
      <c r="X292" s="495"/>
      <c r="Y292" s="495"/>
      <c r="Z292" s="495"/>
      <c r="AA292" s="495"/>
      <c r="AB292" s="495"/>
      <c r="AC292" s="495"/>
      <c r="AD292" s="495"/>
      <c r="AE292" s="495"/>
      <c r="AF292" s="495"/>
      <c r="AG292" s="495"/>
      <c r="AH292" s="495"/>
      <c r="AI292" s="495"/>
      <c r="AJ292" s="495"/>
      <c r="AK292" s="495"/>
      <c r="AL292" s="495"/>
      <c r="AM292" s="495"/>
      <c r="AN292" s="495"/>
      <c r="AO292" s="495"/>
      <c r="AP292" s="495"/>
      <c r="AQ292" s="495"/>
      <c r="AR292" s="495"/>
      <c r="AS292" s="495"/>
      <c r="AT292" s="495"/>
      <c r="AU292" s="495"/>
      <c r="AV292" s="495"/>
      <c r="AW292" s="495"/>
      <c r="AX292" s="495"/>
      <c r="AY292" s="495"/>
      <c r="AZ292" s="495"/>
      <c r="BA292" s="495"/>
      <c r="BB292" s="495"/>
      <c r="BC292" s="495"/>
      <c r="BD292" s="495"/>
      <c r="BE292" s="495"/>
      <c r="BF292" s="495"/>
      <c r="BG292" s="495"/>
      <c r="BH292" s="495"/>
      <c r="BI292" s="495"/>
      <c r="BJ292" s="495"/>
      <c r="BK292" s="495"/>
      <c r="BL292" s="495"/>
    </row>
    <row r="293" spans="1:64" ht="12">
      <c r="A293" s="495"/>
      <c r="B293" s="495"/>
      <c r="C293" s="495"/>
      <c r="D293" s="495"/>
      <c r="E293" s="495"/>
      <c r="F293" s="495"/>
      <c r="G293" s="495"/>
      <c r="H293" s="495"/>
      <c r="I293" s="495"/>
      <c r="J293" s="495"/>
      <c r="K293" s="495"/>
      <c r="L293" s="495"/>
      <c r="M293" s="495"/>
      <c r="N293" s="495"/>
      <c r="O293" s="495"/>
      <c r="P293" s="495"/>
      <c r="Q293" s="495"/>
      <c r="R293" s="495"/>
      <c r="S293" s="495"/>
      <c r="T293" s="495"/>
      <c r="U293" s="495"/>
      <c r="V293" s="495"/>
      <c r="W293" s="495"/>
      <c r="X293" s="495"/>
      <c r="Y293" s="495"/>
      <c r="Z293" s="495"/>
      <c r="AA293" s="495"/>
      <c r="AB293" s="495"/>
      <c r="AC293" s="495"/>
      <c r="AD293" s="495"/>
      <c r="AE293" s="495"/>
      <c r="AF293" s="495"/>
      <c r="AG293" s="495"/>
      <c r="AH293" s="495"/>
      <c r="AI293" s="495"/>
      <c r="AJ293" s="495"/>
      <c r="AK293" s="495"/>
      <c r="AL293" s="495"/>
      <c r="AM293" s="495"/>
      <c r="AN293" s="495"/>
      <c r="AO293" s="495"/>
      <c r="AP293" s="495"/>
      <c r="AQ293" s="495"/>
      <c r="AR293" s="495"/>
      <c r="AS293" s="495"/>
      <c r="AT293" s="495"/>
      <c r="AU293" s="495"/>
      <c r="AV293" s="495"/>
      <c r="AW293" s="495"/>
      <c r="AX293" s="495"/>
      <c r="AY293" s="495"/>
      <c r="AZ293" s="495"/>
      <c r="BA293" s="495"/>
      <c r="BB293" s="495"/>
      <c r="BC293" s="495"/>
      <c r="BD293" s="495"/>
      <c r="BE293" s="495"/>
      <c r="BF293" s="495"/>
      <c r="BG293" s="495"/>
      <c r="BH293" s="495"/>
      <c r="BI293" s="495"/>
      <c r="BJ293" s="495"/>
      <c r="BK293" s="495"/>
      <c r="BL293" s="495"/>
    </row>
    <row r="294" spans="1:64" ht="12">
      <c r="A294" s="495"/>
      <c r="B294" s="495"/>
      <c r="C294" s="495"/>
      <c r="D294" s="495"/>
      <c r="E294" s="495"/>
      <c r="F294" s="495"/>
      <c r="G294" s="495"/>
      <c r="H294" s="495"/>
      <c r="I294" s="495"/>
      <c r="J294" s="495"/>
      <c r="K294" s="495"/>
      <c r="L294" s="495"/>
      <c r="M294" s="495"/>
      <c r="N294" s="495"/>
      <c r="O294" s="495"/>
      <c r="P294" s="495"/>
      <c r="Q294" s="495"/>
      <c r="R294" s="495"/>
      <c r="S294" s="495"/>
      <c r="T294" s="495"/>
      <c r="U294" s="495"/>
      <c r="V294" s="495"/>
      <c r="W294" s="495"/>
      <c r="X294" s="495"/>
      <c r="Y294" s="495"/>
      <c r="Z294" s="495"/>
      <c r="AA294" s="495"/>
      <c r="AB294" s="495"/>
      <c r="AC294" s="495"/>
      <c r="AD294" s="495"/>
      <c r="AE294" s="495"/>
      <c r="AF294" s="495"/>
      <c r="AG294" s="495"/>
      <c r="AH294" s="495"/>
      <c r="AI294" s="495"/>
      <c r="AJ294" s="495"/>
      <c r="AK294" s="495"/>
      <c r="AL294" s="495"/>
      <c r="AM294" s="495"/>
      <c r="AN294" s="495"/>
      <c r="AO294" s="495"/>
      <c r="AP294" s="495"/>
      <c r="AQ294" s="495"/>
      <c r="AR294" s="495"/>
      <c r="AS294" s="495"/>
      <c r="AT294" s="495"/>
      <c r="AU294" s="495"/>
      <c r="AV294" s="495"/>
      <c r="AW294" s="495"/>
      <c r="AX294" s="495"/>
      <c r="AY294" s="495"/>
      <c r="AZ294" s="495"/>
      <c r="BA294" s="495"/>
      <c r="BB294" s="495"/>
      <c r="BC294" s="495"/>
      <c r="BD294" s="495"/>
      <c r="BE294" s="495"/>
      <c r="BF294" s="495"/>
      <c r="BG294" s="495"/>
      <c r="BH294" s="495"/>
      <c r="BI294" s="495"/>
      <c r="BJ294" s="495"/>
      <c r="BK294" s="495"/>
      <c r="BL294" s="495"/>
    </row>
    <row r="295" spans="1:64" ht="12">
      <c r="A295" s="495"/>
      <c r="B295" s="495"/>
      <c r="C295" s="495"/>
      <c r="D295" s="495"/>
      <c r="E295" s="495"/>
      <c r="F295" s="495"/>
      <c r="G295" s="495"/>
      <c r="H295" s="495"/>
      <c r="I295" s="495"/>
      <c r="J295" s="495"/>
      <c r="K295" s="495"/>
      <c r="L295" s="495"/>
      <c r="M295" s="495"/>
      <c r="N295" s="495"/>
      <c r="O295" s="495"/>
      <c r="P295" s="495"/>
      <c r="Q295" s="495"/>
      <c r="R295" s="495"/>
      <c r="S295" s="495"/>
      <c r="T295" s="495"/>
      <c r="U295" s="495"/>
      <c r="V295" s="495"/>
      <c r="W295" s="495"/>
      <c r="X295" s="495"/>
      <c r="Y295" s="495"/>
      <c r="Z295" s="495"/>
      <c r="AA295" s="495"/>
      <c r="AB295" s="495"/>
      <c r="AC295" s="495"/>
      <c r="AD295" s="495"/>
      <c r="AE295" s="495"/>
      <c r="AF295" s="495"/>
      <c r="AG295" s="495"/>
      <c r="AH295" s="495"/>
      <c r="AI295" s="495"/>
      <c r="AJ295" s="495"/>
      <c r="AK295" s="495"/>
      <c r="AL295" s="495"/>
      <c r="AM295" s="495"/>
      <c r="AN295" s="495"/>
      <c r="AO295" s="495"/>
      <c r="AP295" s="495"/>
      <c r="AQ295" s="495"/>
      <c r="AR295" s="495"/>
      <c r="AS295" s="495"/>
      <c r="AT295" s="495"/>
      <c r="AU295" s="495"/>
      <c r="AV295" s="495"/>
      <c r="AW295" s="495"/>
      <c r="AX295" s="495"/>
      <c r="AY295" s="495"/>
      <c r="AZ295" s="495"/>
      <c r="BA295" s="495"/>
      <c r="BB295" s="495"/>
      <c r="BC295" s="495"/>
      <c r="BD295" s="495"/>
      <c r="BE295" s="495"/>
      <c r="BF295" s="495"/>
      <c r="BG295" s="495"/>
      <c r="BH295" s="495"/>
      <c r="BI295" s="495"/>
      <c r="BJ295" s="495"/>
      <c r="BK295" s="495"/>
      <c r="BL295" s="495"/>
    </row>
    <row r="296" spans="1:64" ht="12">
      <c r="A296" s="495"/>
      <c r="B296" s="495"/>
      <c r="C296" s="495"/>
      <c r="D296" s="495"/>
      <c r="E296" s="495"/>
      <c r="F296" s="495"/>
      <c r="G296" s="495"/>
      <c r="H296" s="495"/>
      <c r="I296" s="495"/>
      <c r="J296" s="495"/>
      <c r="K296" s="495"/>
      <c r="L296" s="495"/>
      <c r="M296" s="495"/>
      <c r="N296" s="495"/>
      <c r="O296" s="495"/>
      <c r="P296" s="495"/>
      <c r="Q296" s="495"/>
      <c r="R296" s="495"/>
      <c r="S296" s="495"/>
      <c r="T296" s="495"/>
      <c r="U296" s="495"/>
      <c r="V296" s="495"/>
      <c r="W296" s="495"/>
      <c r="X296" s="495"/>
      <c r="Y296" s="495"/>
      <c r="Z296" s="495"/>
      <c r="AA296" s="495"/>
      <c r="AB296" s="495"/>
      <c r="AC296" s="495"/>
      <c r="AD296" s="495"/>
      <c r="AE296" s="495"/>
      <c r="AF296" s="495"/>
      <c r="AG296" s="495"/>
      <c r="AH296" s="495"/>
      <c r="AI296" s="495"/>
      <c r="AJ296" s="495"/>
      <c r="AK296" s="495"/>
      <c r="AL296" s="495"/>
      <c r="AM296" s="495"/>
      <c r="AN296" s="495"/>
      <c r="AO296" s="495"/>
      <c r="AP296" s="495"/>
      <c r="AQ296" s="495"/>
      <c r="AR296" s="495"/>
      <c r="AS296" s="495"/>
      <c r="AT296" s="495"/>
      <c r="AU296" s="495"/>
      <c r="AV296" s="495"/>
      <c r="AW296" s="495"/>
      <c r="AX296" s="495"/>
      <c r="AY296" s="495"/>
      <c r="AZ296" s="495"/>
      <c r="BA296" s="495"/>
      <c r="BB296" s="495"/>
      <c r="BC296" s="495"/>
      <c r="BD296" s="495"/>
      <c r="BE296" s="495"/>
      <c r="BF296" s="495"/>
      <c r="BG296" s="495"/>
      <c r="BH296" s="495"/>
      <c r="BI296" s="495"/>
      <c r="BJ296" s="495"/>
      <c r="BK296" s="495"/>
      <c r="BL296" s="495"/>
    </row>
    <row r="297" spans="1:64" ht="12">
      <c r="A297" s="495"/>
      <c r="B297" s="495"/>
      <c r="C297" s="495"/>
      <c r="D297" s="495"/>
      <c r="E297" s="495"/>
      <c r="F297" s="495"/>
      <c r="G297" s="495"/>
      <c r="H297" s="495"/>
      <c r="I297" s="495"/>
      <c r="J297" s="495"/>
      <c r="K297" s="495"/>
      <c r="L297" s="495"/>
      <c r="M297" s="495"/>
      <c r="N297" s="495"/>
      <c r="O297" s="495"/>
      <c r="P297" s="495"/>
      <c r="Q297" s="495"/>
      <c r="R297" s="495"/>
      <c r="S297" s="495"/>
      <c r="T297" s="495"/>
      <c r="U297" s="495"/>
      <c r="V297" s="495"/>
      <c r="W297" s="495"/>
      <c r="X297" s="495"/>
      <c r="Y297" s="495"/>
      <c r="Z297" s="495"/>
      <c r="AA297" s="495"/>
      <c r="AB297" s="495"/>
      <c r="AC297" s="495"/>
      <c r="AD297" s="495"/>
      <c r="AE297" s="495"/>
      <c r="AF297" s="495"/>
      <c r="AG297" s="495"/>
      <c r="AH297" s="495"/>
      <c r="AI297" s="495"/>
      <c r="AJ297" s="495"/>
      <c r="AK297" s="495"/>
      <c r="AL297" s="495"/>
      <c r="AM297" s="495"/>
      <c r="AN297" s="495"/>
      <c r="AO297" s="495"/>
      <c r="AP297" s="495"/>
      <c r="AQ297" s="495"/>
      <c r="AR297" s="495"/>
      <c r="AS297" s="495"/>
      <c r="AT297" s="495"/>
      <c r="AU297" s="495"/>
      <c r="AV297" s="495"/>
      <c r="AW297" s="495"/>
      <c r="AX297" s="495"/>
      <c r="AY297" s="495"/>
      <c r="AZ297" s="495"/>
      <c r="BA297" s="495"/>
      <c r="BB297" s="495"/>
      <c r="BC297" s="495"/>
      <c r="BD297" s="495"/>
      <c r="BE297" s="495"/>
      <c r="BF297" s="495"/>
      <c r="BG297" s="495"/>
      <c r="BH297" s="495"/>
      <c r="BI297" s="495"/>
      <c r="BJ297" s="495"/>
      <c r="BK297" s="495"/>
      <c r="BL297" s="495"/>
    </row>
    <row r="298" spans="1:64" ht="12">
      <c r="A298" s="495"/>
      <c r="B298" s="495"/>
      <c r="C298" s="495"/>
      <c r="D298" s="495"/>
      <c r="E298" s="495"/>
      <c r="F298" s="495"/>
      <c r="G298" s="495"/>
      <c r="H298" s="495"/>
      <c r="I298" s="495"/>
      <c r="J298" s="495"/>
      <c r="K298" s="495"/>
      <c r="L298" s="495"/>
      <c r="M298" s="495"/>
      <c r="N298" s="495"/>
      <c r="O298" s="495"/>
      <c r="P298" s="495"/>
      <c r="Q298" s="495"/>
      <c r="R298" s="495"/>
      <c r="S298" s="495"/>
      <c r="T298" s="495"/>
      <c r="U298" s="495"/>
      <c r="V298" s="495"/>
      <c r="W298" s="495"/>
      <c r="X298" s="495"/>
      <c r="Y298" s="495"/>
      <c r="Z298" s="495"/>
      <c r="AA298" s="495"/>
      <c r="AB298" s="495"/>
      <c r="AC298" s="495"/>
      <c r="AD298" s="495"/>
      <c r="AE298" s="495"/>
      <c r="AF298" s="495"/>
      <c r="AG298" s="495"/>
      <c r="AH298" s="495"/>
      <c r="AI298" s="495"/>
      <c r="AJ298" s="495"/>
      <c r="AK298" s="495"/>
      <c r="AL298" s="495"/>
      <c r="AM298" s="495"/>
      <c r="AN298" s="495"/>
      <c r="AO298" s="495"/>
      <c r="AP298" s="495"/>
      <c r="AQ298" s="495"/>
      <c r="AR298" s="495"/>
      <c r="AS298" s="495"/>
      <c r="AT298" s="495"/>
      <c r="AU298" s="495"/>
      <c r="AV298" s="495"/>
      <c r="AW298" s="495"/>
      <c r="AX298" s="495"/>
      <c r="AY298" s="495"/>
      <c r="AZ298" s="495"/>
      <c r="BA298" s="495"/>
      <c r="BB298" s="495"/>
      <c r="BC298" s="495"/>
      <c r="BD298" s="495"/>
      <c r="BE298" s="495"/>
      <c r="BF298" s="495"/>
      <c r="BG298" s="495"/>
      <c r="BH298" s="495"/>
      <c r="BI298" s="495"/>
      <c r="BJ298" s="495"/>
      <c r="BK298" s="495"/>
      <c r="BL298" s="495"/>
    </row>
    <row r="299" spans="1:64" ht="12">
      <c r="A299" s="495"/>
      <c r="B299" s="495"/>
      <c r="C299" s="495"/>
      <c r="D299" s="495"/>
      <c r="E299" s="495"/>
      <c r="F299" s="495"/>
      <c r="G299" s="495"/>
      <c r="H299" s="495"/>
      <c r="I299" s="495"/>
      <c r="J299" s="495"/>
      <c r="K299" s="495"/>
      <c r="L299" s="495"/>
      <c r="M299" s="495"/>
      <c r="N299" s="495"/>
      <c r="O299" s="495"/>
      <c r="P299" s="495"/>
      <c r="Q299" s="495"/>
      <c r="R299" s="495"/>
      <c r="S299" s="495"/>
      <c r="T299" s="495"/>
      <c r="U299" s="495"/>
      <c r="V299" s="495"/>
      <c r="W299" s="495"/>
      <c r="X299" s="495"/>
      <c r="Y299" s="495"/>
      <c r="Z299" s="495"/>
      <c r="AA299" s="495"/>
      <c r="AB299" s="495"/>
      <c r="AC299" s="495"/>
      <c r="AD299" s="495"/>
      <c r="AE299" s="495"/>
      <c r="AF299" s="495"/>
      <c r="AG299" s="495"/>
      <c r="AH299" s="495"/>
      <c r="AI299" s="495"/>
      <c r="AJ299" s="495"/>
      <c r="AK299" s="495"/>
      <c r="AL299" s="495"/>
      <c r="AM299" s="495"/>
      <c r="AN299" s="495"/>
      <c r="AO299" s="495"/>
      <c r="AP299" s="495"/>
      <c r="AQ299" s="495"/>
      <c r="AR299" s="495"/>
      <c r="AS299" s="495"/>
      <c r="AT299" s="495"/>
      <c r="AU299" s="495"/>
      <c r="AV299" s="495"/>
      <c r="AW299" s="495"/>
      <c r="AX299" s="495"/>
      <c r="AY299" s="495"/>
      <c r="AZ299" s="495"/>
      <c r="BA299" s="495"/>
      <c r="BB299" s="495"/>
      <c r="BC299" s="495"/>
      <c r="BD299" s="495"/>
      <c r="BE299" s="495"/>
      <c r="BF299" s="495"/>
      <c r="BG299" s="495"/>
      <c r="BH299" s="495"/>
      <c r="BI299" s="495"/>
      <c r="BJ299" s="495"/>
      <c r="BK299" s="495"/>
      <c r="BL299" s="495"/>
    </row>
    <row r="300" spans="1:64" ht="12">
      <c r="A300" s="495"/>
      <c r="B300" s="495"/>
      <c r="C300" s="495"/>
      <c r="D300" s="495"/>
      <c r="E300" s="495"/>
      <c r="F300" s="495"/>
      <c r="G300" s="495"/>
      <c r="H300" s="495"/>
      <c r="I300" s="495"/>
      <c r="J300" s="495"/>
      <c r="K300" s="495"/>
      <c r="L300" s="495"/>
      <c r="M300" s="495"/>
      <c r="N300" s="495"/>
      <c r="O300" s="495"/>
      <c r="P300" s="495"/>
      <c r="Q300" s="495"/>
      <c r="R300" s="495"/>
      <c r="S300" s="495"/>
      <c r="T300" s="495"/>
      <c r="U300" s="495"/>
      <c r="V300" s="495"/>
      <c r="W300" s="495"/>
      <c r="X300" s="495"/>
      <c r="Y300" s="495"/>
      <c r="Z300" s="495"/>
      <c r="AA300" s="495"/>
      <c r="AB300" s="495"/>
      <c r="AC300" s="495"/>
      <c r="AD300" s="495"/>
      <c r="AE300" s="495"/>
      <c r="AF300" s="495"/>
      <c r="AG300" s="495"/>
      <c r="AH300" s="495"/>
      <c r="AI300" s="495"/>
      <c r="AJ300" s="495"/>
      <c r="AK300" s="495"/>
      <c r="AL300" s="495"/>
      <c r="AM300" s="495"/>
      <c r="AN300" s="495"/>
      <c r="AO300" s="495"/>
      <c r="AP300" s="495"/>
      <c r="AQ300" s="495"/>
      <c r="AR300" s="495"/>
      <c r="AS300" s="495"/>
      <c r="AT300" s="495"/>
      <c r="AU300" s="495"/>
      <c r="AV300" s="495"/>
      <c r="AW300" s="495"/>
      <c r="AX300" s="495"/>
      <c r="AY300" s="495"/>
      <c r="AZ300" s="495"/>
      <c r="BA300" s="495"/>
      <c r="BB300" s="495"/>
      <c r="BC300" s="495"/>
      <c r="BD300" s="495"/>
      <c r="BE300" s="495"/>
      <c r="BF300" s="495"/>
      <c r="BG300" s="495"/>
      <c r="BH300" s="495"/>
      <c r="BI300" s="495"/>
      <c r="BJ300" s="495"/>
      <c r="BK300" s="495"/>
      <c r="BL300" s="495"/>
    </row>
    <row r="301" spans="1:64" ht="12">
      <c r="A301" s="495"/>
      <c r="B301" s="495"/>
      <c r="C301" s="495"/>
      <c r="D301" s="495"/>
      <c r="E301" s="495"/>
      <c r="F301" s="495"/>
      <c r="G301" s="495"/>
      <c r="H301" s="495"/>
      <c r="I301" s="495"/>
      <c r="J301" s="495"/>
      <c r="K301" s="495"/>
      <c r="L301" s="495"/>
      <c r="M301" s="495"/>
      <c r="N301" s="495"/>
      <c r="O301" s="495"/>
      <c r="P301" s="495"/>
      <c r="Q301" s="495"/>
      <c r="R301" s="495"/>
      <c r="S301" s="495"/>
      <c r="T301" s="495"/>
      <c r="U301" s="495"/>
      <c r="V301" s="495"/>
      <c r="W301" s="495"/>
      <c r="X301" s="495"/>
      <c r="Y301" s="495"/>
      <c r="Z301" s="495"/>
      <c r="AA301" s="495"/>
      <c r="AB301" s="495"/>
      <c r="AC301" s="495"/>
      <c r="AD301" s="495"/>
      <c r="AE301" s="495"/>
      <c r="AF301" s="495"/>
      <c r="AG301" s="495"/>
      <c r="AH301" s="495"/>
      <c r="AI301" s="495"/>
      <c r="AJ301" s="495"/>
      <c r="AK301" s="495"/>
      <c r="AL301" s="495"/>
      <c r="AM301" s="495"/>
      <c r="AN301" s="495"/>
      <c r="AO301" s="495"/>
      <c r="AP301" s="495"/>
      <c r="AQ301" s="495"/>
      <c r="AR301" s="495"/>
      <c r="AS301" s="495"/>
      <c r="AT301" s="495"/>
      <c r="AU301" s="495"/>
      <c r="AV301" s="495"/>
      <c r="AW301" s="495"/>
      <c r="AX301" s="495"/>
      <c r="AY301" s="495"/>
      <c r="AZ301" s="495"/>
      <c r="BA301" s="495"/>
      <c r="BB301" s="495"/>
      <c r="BC301" s="495"/>
      <c r="BD301" s="495"/>
      <c r="BE301" s="495"/>
      <c r="BF301" s="495"/>
      <c r="BG301" s="495"/>
      <c r="BH301" s="495"/>
      <c r="BI301" s="495"/>
      <c r="BJ301" s="495"/>
      <c r="BK301" s="495"/>
      <c r="BL301" s="495"/>
    </row>
    <row r="302" spans="1:64" ht="12">
      <c r="A302" s="495"/>
      <c r="B302" s="495"/>
      <c r="C302" s="495"/>
      <c r="D302" s="495"/>
      <c r="E302" s="495"/>
      <c r="F302" s="495"/>
      <c r="G302" s="495"/>
      <c r="H302" s="495"/>
      <c r="I302" s="495"/>
      <c r="J302" s="495"/>
      <c r="K302" s="495"/>
      <c r="L302" s="495"/>
      <c r="M302" s="495"/>
      <c r="N302" s="495"/>
      <c r="O302" s="495"/>
      <c r="P302" s="495"/>
      <c r="Q302" s="495"/>
      <c r="R302" s="495"/>
      <c r="S302" s="495"/>
      <c r="T302" s="495"/>
      <c r="U302" s="495"/>
      <c r="V302" s="495"/>
      <c r="W302" s="495"/>
      <c r="X302" s="495"/>
      <c r="Y302" s="495"/>
      <c r="Z302" s="495"/>
      <c r="AA302" s="495"/>
      <c r="AB302" s="495"/>
      <c r="AC302" s="495"/>
      <c r="AD302" s="495"/>
      <c r="AE302" s="495"/>
      <c r="AF302" s="495"/>
      <c r="AG302" s="495"/>
      <c r="AH302" s="495"/>
      <c r="AI302" s="495"/>
      <c r="AJ302" s="495"/>
      <c r="AK302" s="495"/>
      <c r="AL302" s="495"/>
      <c r="AM302" s="495"/>
      <c r="AN302" s="495"/>
      <c r="AO302" s="495"/>
      <c r="AP302" s="495"/>
      <c r="AQ302" s="495"/>
      <c r="AR302" s="495"/>
      <c r="AS302" s="495"/>
      <c r="AT302" s="495"/>
      <c r="AU302" s="495"/>
      <c r="AV302" s="495"/>
      <c r="AW302" s="495"/>
      <c r="AX302" s="495"/>
      <c r="AY302" s="495"/>
      <c r="AZ302" s="495"/>
      <c r="BA302" s="495"/>
      <c r="BB302" s="495"/>
      <c r="BC302" s="495"/>
      <c r="BD302" s="495"/>
      <c r="BE302" s="495"/>
      <c r="BF302" s="495"/>
      <c r="BG302" s="495"/>
      <c r="BH302" s="495"/>
      <c r="BI302" s="495"/>
      <c r="BJ302" s="495"/>
      <c r="BK302" s="495"/>
      <c r="BL302" s="495"/>
    </row>
    <row r="303" spans="1:64" ht="12">
      <c r="A303" s="495"/>
      <c r="B303" s="495"/>
      <c r="C303" s="495"/>
      <c r="D303" s="495"/>
      <c r="E303" s="495"/>
      <c r="F303" s="495"/>
      <c r="G303" s="495"/>
      <c r="H303" s="495"/>
      <c r="I303" s="495"/>
      <c r="J303" s="495"/>
      <c r="K303" s="495"/>
      <c r="L303" s="495"/>
      <c r="M303" s="495"/>
      <c r="N303" s="495"/>
      <c r="O303" s="495"/>
      <c r="P303" s="495"/>
      <c r="Q303" s="495"/>
      <c r="R303" s="495"/>
      <c r="S303" s="495"/>
      <c r="T303" s="495"/>
      <c r="U303" s="495"/>
      <c r="V303" s="495"/>
      <c r="W303" s="495"/>
      <c r="X303" s="495"/>
      <c r="Y303" s="495"/>
      <c r="Z303" s="495"/>
      <c r="AA303" s="495"/>
      <c r="AB303" s="495"/>
      <c r="AC303" s="495"/>
      <c r="AD303" s="495"/>
      <c r="AE303" s="495"/>
      <c r="AF303" s="495"/>
      <c r="AG303" s="495"/>
      <c r="AH303" s="495"/>
      <c r="AI303" s="495"/>
      <c r="AJ303" s="495"/>
      <c r="AK303" s="495"/>
      <c r="AL303" s="495"/>
      <c r="AM303" s="495"/>
      <c r="AN303" s="495"/>
      <c r="AO303" s="495"/>
      <c r="AP303" s="495"/>
      <c r="AQ303" s="495"/>
      <c r="AR303" s="495"/>
      <c r="AS303" s="495"/>
      <c r="AT303" s="495"/>
      <c r="AU303" s="495"/>
      <c r="AV303" s="495"/>
      <c r="AW303" s="495"/>
      <c r="AX303" s="495"/>
      <c r="AY303" s="495"/>
      <c r="AZ303" s="495"/>
      <c r="BA303" s="495"/>
      <c r="BB303" s="495"/>
      <c r="BC303" s="495"/>
      <c r="BD303" s="495"/>
      <c r="BE303" s="495"/>
      <c r="BF303" s="495"/>
      <c r="BG303" s="495"/>
      <c r="BH303" s="495"/>
      <c r="BI303" s="495"/>
      <c r="BJ303" s="495"/>
      <c r="BK303" s="495"/>
      <c r="BL303" s="495"/>
    </row>
    <row r="304" spans="1:64" ht="12">
      <c r="A304" s="495"/>
      <c r="B304" s="495"/>
      <c r="C304" s="495"/>
      <c r="D304" s="495"/>
      <c r="E304" s="495"/>
      <c r="F304" s="495"/>
      <c r="G304" s="495"/>
      <c r="H304" s="495"/>
      <c r="I304" s="495"/>
      <c r="J304" s="495"/>
      <c r="K304" s="495"/>
      <c r="L304" s="495"/>
      <c r="M304" s="495"/>
      <c r="N304" s="495"/>
      <c r="O304" s="495"/>
      <c r="P304" s="495"/>
      <c r="Q304" s="495"/>
      <c r="R304" s="495"/>
      <c r="S304" s="495"/>
      <c r="T304" s="495"/>
      <c r="U304" s="495"/>
      <c r="V304" s="495"/>
      <c r="W304" s="495"/>
      <c r="X304" s="495"/>
      <c r="Y304" s="495"/>
      <c r="Z304" s="495"/>
      <c r="AA304" s="495"/>
      <c r="AB304" s="495"/>
      <c r="AC304" s="495"/>
      <c r="AD304" s="495"/>
      <c r="AE304" s="495"/>
      <c r="AF304" s="495"/>
      <c r="AG304" s="495"/>
      <c r="AH304" s="495"/>
      <c r="AI304" s="495"/>
      <c r="AJ304" s="495"/>
      <c r="AK304" s="495"/>
      <c r="AL304" s="495"/>
      <c r="AM304" s="495"/>
      <c r="AN304" s="495"/>
      <c r="AO304" s="495"/>
      <c r="AP304" s="495"/>
      <c r="AQ304" s="495"/>
      <c r="AR304" s="495"/>
      <c r="AS304" s="495"/>
      <c r="AT304" s="495"/>
      <c r="AU304" s="495"/>
      <c r="AV304" s="495"/>
      <c r="AW304" s="495"/>
      <c r="AX304" s="495"/>
      <c r="AY304" s="495"/>
      <c r="AZ304" s="495"/>
      <c r="BA304" s="495"/>
      <c r="BB304" s="495"/>
      <c r="BC304" s="495"/>
      <c r="BD304" s="495"/>
      <c r="BE304" s="495"/>
      <c r="BF304" s="495"/>
      <c r="BG304" s="495"/>
      <c r="BH304" s="495"/>
      <c r="BI304" s="495"/>
      <c r="BJ304" s="495"/>
      <c r="BK304" s="495"/>
      <c r="BL304" s="495"/>
    </row>
    <row r="305" spans="1:64" ht="12">
      <c r="A305" s="495"/>
      <c r="B305" s="495"/>
      <c r="C305" s="495"/>
      <c r="D305" s="495"/>
      <c r="E305" s="495"/>
      <c r="F305" s="495"/>
      <c r="G305" s="495"/>
      <c r="H305" s="495"/>
      <c r="I305" s="495"/>
      <c r="J305" s="495"/>
      <c r="K305" s="495"/>
      <c r="L305" s="495"/>
      <c r="M305" s="495"/>
      <c r="N305" s="495"/>
      <c r="O305" s="495"/>
      <c r="P305" s="495"/>
      <c r="Q305" s="495"/>
      <c r="R305" s="495"/>
      <c r="S305" s="495"/>
      <c r="T305" s="495"/>
      <c r="U305" s="495"/>
      <c r="V305" s="495"/>
      <c r="W305" s="495"/>
      <c r="X305" s="495"/>
      <c r="Y305" s="495"/>
      <c r="Z305" s="495"/>
      <c r="AA305" s="495"/>
      <c r="AB305" s="495"/>
      <c r="AC305" s="495"/>
      <c r="AD305" s="495"/>
      <c r="AE305" s="495"/>
      <c r="AF305" s="495"/>
      <c r="AG305" s="495"/>
      <c r="AH305" s="495"/>
      <c r="AI305" s="495"/>
      <c r="AJ305" s="495"/>
      <c r="AK305" s="495"/>
      <c r="AL305" s="495"/>
      <c r="AM305" s="495"/>
      <c r="AN305" s="495"/>
      <c r="AO305" s="495"/>
      <c r="AP305" s="495"/>
      <c r="AQ305" s="495"/>
      <c r="AR305" s="495"/>
      <c r="AS305" s="495"/>
      <c r="AT305" s="495"/>
      <c r="AU305" s="495"/>
      <c r="AV305" s="495"/>
      <c r="AW305" s="495"/>
      <c r="AX305" s="495"/>
      <c r="AY305" s="495"/>
      <c r="AZ305" s="495"/>
      <c r="BA305" s="495"/>
      <c r="BB305" s="495"/>
      <c r="BC305" s="495"/>
      <c r="BD305" s="495"/>
      <c r="BE305" s="495"/>
      <c r="BF305" s="495"/>
      <c r="BG305" s="495"/>
      <c r="BH305" s="495"/>
      <c r="BI305" s="495"/>
      <c r="BJ305" s="495"/>
      <c r="BK305" s="495"/>
      <c r="BL305" s="495"/>
    </row>
    <row r="306" spans="1:64" ht="12">
      <c r="A306" s="495"/>
      <c r="B306" s="495"/>
      <c r="C306" s="495"/>
      <c r="D306" s="495"/>
      <c r="E306" s="495"/>
      <c r="F306" s="495"/>
      <c r="G306" s="495"/>
      <c r="H306" s="495"/>
      <c r="I306" s="495"/>
      <c r="J306" s="495"/>
      <c r="K306" s="495"/>
      <c r="L306" s="495"/>
      <c r="M306" s="495"/>
      <c r="N306" s="495"/>
      <c r="O306" s="495"/>
      <c r="P306" s="495"/>
      <c r="Q306" s="495"/>
      <c r="R306" s="495"/>
      <c r="S306" s="495"/>
      <c r="T306" s="495"/>
      <c r="U306" s="495"/>
      <c r="V306" s="495"/>
      <c r="W306" s="495"/>
      <c r="X306" s="495"/>
      <c r="Y306" s="495"/>
      <c r="Z306" s="495"/>
      <c r="AA306" s="495"/>
      <c r="AB306" s="495"/>
      <c r="AC306" s="495"/>
      <c r="AD306" s="495"/>
      <c r="AE306" s="495"/>
      <c r="AF306" s="495"/>
      <c r="AG306" s="495"/>
      <c r="AH306" s="495"/>
      <c r="AI306" s="495"/>
      <c r="AJ306" s="495"/>
      <c r="AK306" s="495"/>
      <c r="AL306" s="495"/>
      <c r="AM306" s="495"/>
      <c r="AN306" s="495"/>
      <c r="AO306" s="495"/>
      <c r="AP306" s="495"/>
      <c r="AQ306" s="495"/>
      <c r="AR306" s="495"/>
      <c r="AS306" s="495"/>
      <c r="AT306" s="495"/>
      <c r="AU306" s="495"/>
      <c r="AV306" s="495"/>
      <c r="AW306" s="495"/>
      <c r="AX306" s="495"/>
      <c r="AY306" s="495"/>
      <c r="AZ306" s="495"/>
      <c r="BA306" s="495"/>
      <c r="BB306" s="495"/>
      <c r="BC306" s="495"/>
      <c r="BD306" s="495"/>
      <c r="BE306" s="495"/>
      <c r="BF306" s="495"/>
      <c r="BG306" s="495"/>
      <c r="BH306" s="495"/>
      <c r="BI306" s="495"/>
      <c r="BJ306" s="495"/>
      <c r="BK306" s="495"/>
      <c r="BL306" s="495"/>
    </row>
    <row r="307" spans="1:64" ht="12">
      <c r="A307" s="495"/>
      <c r="B307" s="495"/>
      <c r="C307" s="495"/>
      <c r="D307" s="495"/>
      <c r="E307" s="495"/>
      <c r="F307" s="495"/>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c r="AG307" s="495"/>
      <c r="AH307" s="495"/>
      <c r="AI307" s="495"/>
      <c r="AJ307" s="495"/>
      <c r="AK307" s="495"/>
      <c r="AL307" s="495"/>
      <c r="AM307" s="495"/>
      <c r="AN307" s="495"/>
      <c r="AO307" s="495"/>
      <c r="AP307" s="495"/>
      <c r="AQ307" s="495"/>
      <c r="AR307" s="495"/>
      <c r="AS307" s="495"/>
      <c r="AT307" s="495"/>
      <c r="AU307" s="495"/>
      <c r="AV307" s="495"/>
      <c r="AW307" s="495"/>
      <c r="AX307" s="495"/>
      <c r="AY307" s="495"/>
      <c r="AZ307" s="495"/>
      <c r="BA307" s="495"/>
      <c r="BB307" s="495"/>
      <c r="BC307" s="495"/>
      <c r="BD307" s="495"/>
      <c r="BE307" s="495"/>
      <c r="BF307" s="495"/>
      <c r="BG307" s="495"/>
      <c r="BH307" s="495"/>
      <c r="BI307" s="495"/>
      <c r="BJ307" s="495"/>
      <c r="BK307" s="495"/>
      <c r="BL307" s="495"/>
    </row>
    <row r="308" spans="1:64" ht="12">
      <c r="A308" s="495"/>
      <c r="B308" s="495"/>
      <c r="C308" s="495"/>
      <c r="D308" s="495"/>
      <c r="E308" s="495"/>
      <c r="F308" s="495"/>
      <c r="G308" s="495"/>
      <c r="H308" s="495"/>
      <c r="I308" s="495"/>
      <c r="J308" s="495"/>
      <c r="K308" s="495"/>
      <c r="L308" s="495"/>
      <c r="M308" s="495"/>
      <c r="N308" s="495"/>
      <c r="O308" s="495"/>
      <c r="P308" s="495"/>
      <c r="Q308" s="495"/>
      <c r="R308" s="495"/>
      <c r="S308" s="495"/>
      <c r="T308" s="495"/>
      <c r="U308" s="495"/>
      <c r="V308" s="495"/>
      <c r="W308" s="495"/>
      <c r="X308" s="495"/>
      <c r="Y308" s="495"/>
      <c r="Z308" s="495"/>
      <c r="AA308" s="495"/>
      <c r="AB308" s="495"/>
      <c r="AC308" s="495"/>
      <c r="AD308" s="495"/>
      <c r="AE308" s="495"/>
      <c r="AF308" s="495"/>
      <c r="AG308" s="495"/>
      <c r="AH308" s="495"/>
      <c r="AI308" s="495"/>
      <c r="AJ308" s="495"/>
      <c r="AK308" s="495"/>
      <c r="AL308" s="495"/>
      <c r="AM308" s="495"/>
      <c r="AN308" s="495"/>
      <c r="AO308" s="495"/>
      <c r="AP308" s="495"/>
      <c r="AQ308" s="495"/>
      <c r="AR308" s="495"/>
      <c r="AS308" s="495"/>
      <c r="AT308" s="495"/>
      <c r="AU308" s="495"/>
      <c r="AV308" s="495"/>
      <c r="AW308" s="495"/>
      <c r="AX308" s="495"/>
      <c r="AY308" s="495"/>
      <c r="AZ308" s="495"/>
      <c r="BA308" s="495"/>
      <c r="BB308" s="495"/>
      <c r="BC308" s="495"/>
      <c r="BD308" s="495"/>
      <c r="BE308" s="495"/>
      <c r="BF308" s="495"/>
      <c r="BG308" s="495"/>
      <c r="BH308" s="495"/>
      <c r="BI308" s="495"/>
      <c r="BJ308" s="495"/>
      <c r="BK308" s="495"/>
      <c r="BL308" s="495"/>
    </row>
    <row r="309" spans="1:64" ht="12">
      <c r="A309" s="495"/>
      <c r="B309" s="495"/>
      <c r="C309" s="495"/>
      <c r="D309" s="495"/>
      <c r="E309" s="495"/>
      <c r="F309" s="495"/>
      <c r="G309" s="495"/>
      <c r="H309" s="495"/>
      <c r="I309" s="495"/>
      <c r="J309" s="495"/>
      <c r="K309" s="495"/>
      <c r="L309" s="495"/>
      <c r="M309" s="495"/>
      <c r="N309" s="495"/>
      <c r="O309" s="495"/>
      <c r="P309" s="495"/>
      <c r="Q309" s="495"/>
      <c r="R309" s="495"/>
      <c r="S309" s="495"/>
      <c r="T309" s="495"/>
      <c r="U309" s="495"/>
      <c r="V309" s="495"/>
      <c r="W309" s="495"/>
      <c r="X309" s="495"/>
      <c r="Y309" s="495"/>
      <c r="Z309" s="495"/>
      <c r="AA309" s="495"/>
      <c r="AB309" s="495"/>
      <c r="AC309" s="495"/>
      <c r="AD309" s="495"/>
      <c r="AE309" s="495"/>
      <c r="AF309" s="495"/>
      <c r="AG309" s="495"/>
      <c r="AH309" s="495"/>
      <c r="AI309" s="495"/>
      <c r="AJ309" s="495"/>
      <c r="AK309" s="495"/>
      <c r="AL309" s="495"/>
      <c r="AM309" s="495"/>
      <c r="AN309" s="495"/>
      <c r="AO309" s="495"/>
      <c r="AP309" s="495"/>
      <c r="AQ309" s="495"/>
      <c r="AR309" s="495"/>
      <c r="AS309" s="495"/>
      <c r="AT309" s="495"/>
      <c r="AU309" s="495"/>
      <c r="AV309" s="495"/>
      <c r="AW309" s="495"/>
      <c r="AX309" s="495"/>
      <c r="AY309" s="495"/>
      <c r="AZ309" s="495"/>
      <c r="BA309" s="495"/>
      <c r="BB309" s="495"/>
      <c r="BC309" s="495"/>
      <c r="BD309" s="495"/>
      <c r="BE309" s="495"/>
      <c r="BF309" s="495"/>
      <c r="BG309" s="495"/>
      <c r="BH309" s="495"/>
      <c r="BI309" s="495"/>
      <c r="BJ309" s="495"/>
      <c r="BK309" s="495"/>
      <c r="BL309" s="495"/>
    </row>
    <row r="310" spans="1:64" ht="12">
      <c r="A310" s="495"/>
      <c r="B310" s="495"/>
      <c r="C310" s="495"/>
      <c r="D310" s="495"/>
      <c r="E310" s="495"/>
      <c r="F310" s="495"/>
      <c r="G310" s="495"/>
      <c r="H310" s="495"/>
      <c r="I310" s="495"/>
      <c r="J310" s="495"/>
      <c r="K310" s="495"/>
      <c r="L310" s="495"/>
      <c r="M310" s="495"/>
      <c r="N310" s="495"/>
      <c r="O310" s="495"/>
      <c r="P310" s="495"/>
      <c r="Q310" s="495"/>
      <c r="R310" s="495"/>
      <c r="S310" s="495"/>
      <c r="T310" s="495"/>
      <c r="U310" s="495"/>
      <c r="V310" s="495"/>
      <c r="W310" s="495"/>
      <c r="X310" s="495"/>
      <c r="Y310" s="495"/>
      <c r="Z310" s="495"/>
      <c r="AA310" s="495"/>
      <c r="AB310" s="495"/>
      <c r="AC310" s="495"/>
      <c r="AD310" s="495"/>
      <c r="AE310" s="495"/>
      <c r="AF310" s="495"/>
      <c r="AG310" s="495"/>
      <c r="AH310" s="495"/>
      <c r="AI310" s="495"/>
      <c r="AJ310" s="495"/>
      <c r="AK310" s="495"/>
      <c r="AL310" s="495"/>
      <c r="AM310" s="495"/>
      <c r="AN310" s="495"/>
      <c r="AO310" s="495"/>
      <c r="AP310" s="495"/>
      <c r="AQ310" s="495"/>
      <c r="AR310" s="495"/>
      <c r="AS310" s="495"/>
      <c r="AT310" s="495"/>
      <c r="AU310" s="495"/>
      <c r="AV310" s="495"/>
      <c r="AW310" s="495"/>
      <c r="AX310" s="495"/>
      <c r="AY310" s="495"/>
      <c r="AZ310" s="495"/>
      <c r="BA310" s="495"/>
      <c r="BB310" s="495"/>
      <c r="BC310" s="495"/>
      <c r="BD310" s="495"/>
      <c r="BE310" s="495"/>
      <c r="BF310" s="495"/>
      <c r="BG310" s="495"/>
      <c r="BH310" s="495"/>
      <c r="BI310" s="495"/>
      <c r="BJ310" s="495"/>
      <c r="BK310" s="495"/>
      <c r="BL310" s="495"/>
    </row>
    <row r="311" spans="1:64" ht="12">
      <c r="A311" s="495"/>
      <c r="B311" s="495"/>
      <c r="C311" s="495"/>
      <c r="D311" s="495"/>
      <c r="E311" s="495"/>
      <c r="F311" s="495"/>
      <c r="G311" s="495"/>
      <c r="H311" s="495"/>
      <c r="I311" s="495"/>
      <c r="J311" s="495"/>
      <c r="K311" s="495"/>
      <c r="L311" s="495"/>
      <c r="M311" s="495"/>
      <c r="N311" s="495"/>
      <c r="O311" s="495"/>
      <c r="P311" s="495"/>
      <c r="Q311" s="495"/>
      <c r="R311" s="495"/>
      <c r="S311" s="495"/>
      <c r="T311" s="495"/>
      <c r="U311" s="495"/>
      <c r="V311" s="495"/>
      <c r="W311" s="495"/>
      <c r="X311" s="495"/>
      <c r="Y311" s="495"/>
      <c r="Z311" s="495"/>
      <c r="AA311" s="495"/>
      <c r="AB311" s="495"/>
      <c r="AC311" s="495"/>
      <c r="AD311" s="495"/>
      <c r="AE311" s="495"/>
      <c r="AF311" s="495"/>
      <c r="AG311" s="495"/>
      <c r="AH311" s="495"/>
      <c r="AI311" s="495"/>
      <c r="AJ311" s="495"/>
      <c r="AK311" s="495"/>
      <c r="AL311" s="495"/>
      <c r="AM311" s="495"/>
      <c r="AN311" s="495"/>
      <c r="AO311" s="495"/>
      <c r="AP311" s="495"/>
      <c r="AQ311" s="495"/>
      <c r="AR311" s="495"/>
      <c r="AS311" s="495"/>
      <c r="AT311" s="495"/>
      <c r="AU311" s="495"/>
      <c r="AV311" s="495"/>
      <c r="AW311" s="495"/>
      <c r="AX311" s="495"/>
      <c r="AY311" s="495"/>
      <c r="AZ311" s="495"/>
      <c r="BA311" s="495"/>
      <c r="BB311" s="495"/>
      <c r="BC311" s="495"/>
      <c r="BD311" s="495"/>
      <c r="BE311" s="495"/>
      <c r="BF311" s="495"/>
      <c r="BG311" s="495"/>
      <c r="BH311" s="495"/>
      <c r="BI311" s="495"/>
      <c r="BJ311" s="495"/>
      <c r="BK311" s="495"/>
      <c r="BL311" s="495"/>
    </row>
    <row r="312" spans="1:64" ht="12">
      <c r="A312" s="495"/>
      <c r="B312" s="495"/>
      <c r="C312" s="495"/>
      <c r="D312" s="495"/>
      <c r="E312" s="495"/>
      <c r="F312" s="495"/>
      <c r="G312" s="495"/>
      <c r="H312" s="495"/>
      <c r="I312" s="495"/>
      <c r="J312" s="495"/>
      <c r="K312" s="495"/>
      <c r="L312" s="495"/>
      <c r="M312" s="495"/>
      <c r="N312" s="495"/>
      <c r="O312" s="495"/>
      <c r="P312" s="495"/>
      <c r="Q312" s="495"/>
      <c r="R312" s="495"/>
      <c r="S312" s="495"/>
      <c r="T312" s="495"/>
      <c r="U312" s="495"/>
      <c r="V312" s="495"/>
      <c r="W312" s="495"/>
      <c r="X312" s="495"/>
      <c r="Y312" s="495"/>
      <c r="Z312" s="495"/>
      <c r="AA312" s="495"/>
      <c r="AB312" s="495"/>
      <c r="AC312" s="495"/>
      <c r="AD312" s="495"/>
      <c r="AE312" s="495"/>
      <c r="AF312" s="495"/>
      <c r="AG312" s="495"/>
      <c r="AH312" s="495"/>
      <c r="AI312" s="495"/>
      <c r="AJ312" s="495"/>
      <c r="AK312" s="495"/>
      <c r="AL312" s="495"/>
      <c r="AM312" s="495"/>
      <c r="AN312" s="495"/>
      <c r="AO312" s="495"/>
      <c r="AP312" s="495"/>
      <c r="AQ312" s="495"/>
      <c r="AR312" s="495"/>
      <c r="AS312" s="495"/>
      <c r="AT312" s="495"/>
      <c r="AU312" s="495"/>
      <c r="AV312" s="495"/>
      <c r="AW312" s="495"/>
      <c r="AX312" s="495"/>
      <c r="AY312" s="495"/>
      <c r="AZ312" s="495"/>
      <c r="BA312" s="495"/>
      <c r="BB312" s="495"/>
      <c r="BC312" s="495"/>
      <c r="BD312" s="495"/>
      <c r="BE312" s="495"/>
      <c r="BF312" s="495"/>
      <c r="BG312" s="495"/>
      <c r="BH312" s="495"/>
      <c r="BI312" s="495"/>
      <c r="BJ312" s="495"/>
      <c r="BK312" s="495"/>
      <c r="BL312" s="495"/>
    </row>
    <row r="313" spans="1:64" ht="12">
      <c r="A313" s="495"/>
      <c r="B313" s="495"/>
      <c r="C313" s="495"/>
      <c r="D313" s="495"/>
      <c r="E313" s="495"/>
      <c r="F313" s="495"/>
      <c r="G313" s="495"/>
      <c r="H313" s="495"/>
      <c r="I313" s="495"/>
      <c r="J313" s="495"/>
      <c r="K313" s="495"/>
      <c r="L313" s="495"/>
      <c r="M313" s="495"/>
      <c r="N313" s="495"/>
      <c r="O313" s="495"/>
      <c r="P313" s="495"/>
      <c r="Q313" s="495"/>
      <c r="R313" s="495"/>
      <c r="S313" s="495"/>
      <c r="T313" s="495"/>
      <c r="U313" s="495"/>
      <c r="V313" s="495"/>
      <c r="W313" s="495"/>
      <c r="X313" s="495"/>
      <c r="Y313" s="495"/>
      <c r="Z313" s="495"/>
      <c r="AA313" s="495"/>
      <c r="AB313" s="495"/>
      <c r="AC313" s="495"/>
      <c r="AD313" s="495"/>
      <c r="AE313" s="495"/>
      <c r="AF313" s="495"/>
      <c r="AG313" s="495"/>
      <c r="AH313" s="495"/>
      <c r="AI313" s="495"/>
      <c r="AJ313" s="495"/>
      <c r="AK313" s="495"/>
      <c r="AL313" s="495"/>
      <c r="AM313" s="495"/>
      <c r="AN313" s="495"/>
      <c r="AO313" s="495"/>
      <c r="AP313" s="495"/>
      <c r="AQ313" s="495"/>
      <c r="AR313" s="495"/>
      <c r="AS313" s="495"/>
      <c r="AT313" s="495"/>
      <c r="AU313" s="495"/>
      <c r="AV313" s="495"/>
      <c r="AW313" s="495"/>
      <c r="AX313" s="495"/>
      <c r="AY313" s="495"/>
      <c r="AZ313" s="495"/>
      <c r="BA313" s="495"/>
      <c r="BB313" s="495"/>
      <c r="BC313" s="495"/>
      <c r="BD313" s="495"/>
      <c r="BE313" s="495"/>
      <c r="BF313" s="495"/>
      <c r="BG313" s="495"/>
      <c r="BH313" s="495"/>
      <c r="BI313" s="495"/>
      <c r="BJ313" s="495"/>
      <c r="BK313" s="495"/>
      <c r="BL313" s="495"/>
    </row>
    <row r="314" spans="1:64" ht="12">
      <c r="A314" s="495"/>
      <c r="B314" s="495"/>
      <c r="C314" s="495"/>
      <c r="D314" s="495"/>
      <c r="E314" s="495"/>
      <c r="F314" s="495"/>
      <c r="G314" s="495"/>
      <c r="H314" s="495"/>
      <c r="I314" s="495"/>
      <c r="J314" s="495"/>
      <c r="K314" s="495"/>
      <c r="L314" s="495"/>
      <c r="M314" s="495"/>
      <c r="N314" s="495"/>
      <c r="O314" s="495"/>
      <c r="P314" s="495"/>
      <c r="Q314" s="495"/>
      <c r="R314" s="495"/>
      <c r="S314" s="495"/>
      <c r="T314" s="495"/>
      <c r="U314" s="495"/>
      <c r="V314" s="495"/>
      <c r="W314" s="495"/>
      <c r="X314" s="495"/>
      <c r="Y314" s="495"/>
      <c r="Z314" s="495"/>
      <c r="AA314" s="495"/>
      <c r="AB314" s="495"/>
      <c r="AC314" s="495"/>
      <c r="AD314" s="495"/>
      <c r="AE314" s="495"/>
      <c r="AF314" s="495"/>
      <c r="AG314" s="495"/>
      <c r="AH314" s="495"/>
      <c r="AI314" s="495"/>
      <c r="AJ314" s="495"/>
      <c r="AK314" s="495"/>
      <c r="AL314" s="495"/>
      <c r="AM314" s="495"/>
      <c r="AN314" s="495"/>
      <c r="AO314" s="495"/>
      <c r="AP314" s="495"/>
      <c r="AQ314" s="495"/>
      <c r="AR314" s="495"/>
      <c r="AS314" s="495"/>
      <c r="AT314" s="495"/>
      <c r="AU314" s="495"/>
      <c r="AV314" s="495"/>
      <c r="AW314" s="495"/>
      <c r="AX314" s="495"/>
      <c r="AY314" s="495"/>
      <c r="AZ314" s="495"/>
      <c r="BA314" s="495"/>
      <c r="BB314" s="495"/>
      <c r="BC314" s="495"/>
      <c r="BD314" s="495"/>
      <c r="BE314" s="495"/>
      <c r="BF314" s="495"/>
      <c r="BG314" s="495"/>
      <c r="BH314" s="495"/>
      <c r="BI314" s="495"/>
      <c r="BJ314" s="495"/>
      <c r="BK314" s="495"/>
      <c r="BL314" s="495"/>
    </row>
    <row r="315" spans="1:64" ht="12">
      <c r="A315" s="495"/>
      <c r="B315" s="495"/>
      <c r="C315" s="495"/>
      <c r="D315" s="495"/>
      <c r="E315" s="495"/>
      <c r="F315" s="495"/>
      <c r="G315" s="495"/>
      <c r="H315" s="495"/>
      <c r="I315" s="495"/>
      <c r="J315" s="495"/>
      <c r="K315" s="495"/>
      <c r="L315" s="495"/>
      <c r="M315" s="495"/>
      <c r="N315" s="495"/>
      <c r="O315" s="495"/>
      <c r="P315" s="495"/>
      <c r="Q315" s="495"/>
      <c r="R315" s="495"/>
      <c r="S315" s="495"/>
      <c r="T315" s="495"/>
      <c r="U315" s="495"/>
      <c r="V315" s="495"/>
      <c r="W315" s="495"/>
      <c r="X315" s="495"/>
      <c r="Y315" s="495"/>
      <c r="Z315" s="495"/>
      <c r="AA315" s="495"/>
      <c r="AB315" s="495"/>
      <c r="AC315" s="495"/>
      <c r="AD315" s="495"/>
      <c r="AE315" s="495"/>
      <c r="AF315" s="495"/>
      <c r="AG315" s="495"/>
      <c r="AH315" s="495"/>
      <c r="AI315" s="495"/>
      <c r="AJ315" s="495"/>
      <c r="AK315" s="495"/>
      <c r="AL315" s="495"/>
      <c r="AM315" s="495"/>
      <c r="AN315" s="495"/>
      <c r="AO315" s="495"/>
      <c r="AP315" s="495"/>
      <c r="AQ315" s="495"/>
      <c r="AR315" s="495"/>
      <c r="AS315" s="495"/>
      <c r="AT315" s="495"/>
      <c r="AU315" s="495"/>
      <c r="AV315" s="495"/>
      <c r="AW315" s="495"/>
      <c r="AX315" s="495"/>
      <c r="AY315" s="495"/>
      <c r="AZ315" s="495"/>
      <c r="BA315" s="495"/>
      <c r="BB315" s="495"/>
      <c r="BC315" s="495"/>
      <c r="BD315" s="495"/>
      <c r="BE315" s="495"/>
      <c r="BF315" s="495"/>
      <c r="BG315" s="495"/>
      <c r="BH315" s="495"/>
      <c r="BI315" s="495"/>
      <c r="BJ315" s="495"/>
      <c r="BK315" s="495"/>
      <c r="BL315" s="495"/>
    </row>
    <row r="316" spans="1:64" ht="12">
      <c r="A316" s="495"/>
      <c r="B316" s="495"/>
      <c r="C316" s="495"/>
      <c r="D316" s="495"/>
      <c r="E316" s="495"/>
      <c r="F316" s="495"/>
      <c r="G316" s="495"/>
      <c r="H316" s="495"/>
      <c r="I316" s="495"/>
      <c r="J316" s="495"/>
      <c r="K316" s="495"/>
      <c r="L316" s="495"/>
      <c r="M316" s="495"/>
      <c r="N316" s="495"/>
      <c r="O316" s="495"/>
      <c r="P316" s="495"/>
      <c r="Q316" s="495"/>
      <c r="R316" s="495"/>
      <c r="S316" s="495"/>
      <c r="T316" s="495"/>
      <c r="U316" s="495"/>
      <c r="V316" s="495"/>
      <c r="W316" s="495"/>
      <c r="X316" s="495"/>
      <c r="Y316" s="495"/>
      <c r="Z316" s="495"/>
      <c r="AA316" s="495"/>
      <c r="AB316" s="495"/>
      <c r="AC316" s="495"/>
      <c r="AD316" s="495"/>
      <c r="AE316" s="495"/>
      <c r="AF316" s="495"/>
      <c r="AG316" s="495"/>
      <c r="AH316" s="495"/>
      <c r="AI316" s="495"/>
      <c r="AJ316" s="495"/>
      <c r="AK316" s="495"/>
      <c r="AL316" s="495"/>
      <c r="AM316" s="495"/>
      <c r="AN316" s="495"/>
      <c r="AO316" s="495"/>
      <c r="AP316" s="495"/>
      <c r="AQ316" s="495"/>
      <c r="AR316" s="495"/>
      <c r="AS316" s="495"/>
      <c r="AT316" s="495"/>
      <c r="AU316" s="495"/>
      <c r="AV316" s="495"/>
      <c r="AW316" s="495"/>
      <c r="AX316" s="495"/>
      <c r="AY316" s="495"/>
      <c r="AZ316" s="495"/>
      <c r="BA316" s="495"/>
      <c r="BB316" s="495"/>
      <c r="BC316" s="495"/>
      <c r="BD316" s="495"/>
      <c r="BE316" s="495"/>
      <c r="BF316" s="495"/>
      <c r="BG316" s="495"/>
      <c r="BH316" s="495"/>
      <c r="BI316" s="495"/>
      <c r="BJ316" s="495"/>
      <c r="BK316" s="495"/>
      <c r="BL316" s="495"/>
    </row>
    <row r="317" spans="1:64" ht="12">
      <c r="A317" s="495"/>
      <c r="B317" s="495"/>
      <c r="C317" s="495"/>
      <c r="D317" s="495"/>
      <c r="E317" s="495"/>
      <c r="F317" s="495"/>
      <c r="G317" s="495"/>
      <c r="H317" s="495"/>
      <c r="I317" s="495"/>
      <c r="J317" s="495"/>
      <c r="K317" s="495"/>
      <c r="L317" s="495"/>
      <c r="M317" s="495"/>
      <c r="N317" s="495"/>
      <c r="O317" s="495"/>
      <c r="P317" s="495"/>
      <c r="Q317" s="495"/>
      <c r="R317" s="495"/>
      <c r="S317" s="495"/>
      <c r="T317" s="495"/>
      <c r="U317" s="495"/>
      <c r="V317" s="495"/>
      <c r="W317" s="495"/>
      <c r="X317" s="495"/>
      <c r="Y317" s="495"/>
      <c r="Z317" s="495"/>
      <c r="AA317" s="495"/>
      <c r="AB317" s="495"/>
      <c r="AC317" s="495"/>
      <c r="AD317" s="495"/>
      <c r="AE317" s="495"/>
      <c r="AF317" s="495"/>
      <c r="AG317" s="495"/>
      <c r="AH317" s="495"/>
      <c r="AI317" s="495"/>
      <c r="AJ317" s="495"/>
      <c r="AK317" s="495"/>
      <c r="AL317" s="495"/>
      <c r="AM317" s="495"/>
      <c r="AN317" s="495"/>
      <c r="AO317" s="495"/>
      <c r="AP317" s="495"/>
      <c r="AQ317" s="495"/>
      <c r="AR317" s="495"/>
      <c r="AS317" s="495"/>
      <c r="AT317" s="495"/>
      <c r="AU317" s="495"/>
      <c r="AV317" s="495"/>
      <c r="AW317" s="495"/>
      <c r="AX317" s="495"/>
      <c r="AY317" s="495"/>
      <c r="AZ317" s="495"/>
      <c r="BA317" s="495"/>
      <c r="BB317" s="495"/>
      <c r="BC317" s="495"/>
      <c r="BD317" s="495"/>
      <c r="BE317" s="495"/>
      <c r="BF317" s="495"/>
      <c r="BG317" s="495"/>
      <c r="BH317" s="495"/>
      <c r="BI317" s="495"/>
      <c r="BJ317" s="495"/>
      <c r="BK317" s="495"/>
      <c r="BL317" s="495"/>
    </row>
    <row r="318" spans="1:64" ht="12">
      <c r="A318" s="495"/>
      <c r="B318" s="495"/>
      <c r="C318" s="495"/>
      <c r="D318" s="495"/>
      <c r="E318" s="495"/>
      <c r="F318" s="495"/>
      <c r="G318" s="495"/>
      <c r="H318" s="495"/>
      <c r="I318" s="495"/>
      <c r="J318" s="495"/>
      <c r="K318" s="495"/>
      <c r="L318" s="495"/>
      <c r="M318" s="495"/>
      <c r="N318" s="495"/>
      <c r="O318" s="495"/>
      <c r="P318" s="495"/>
      <c r="Q318" s="495"/>
      <c r="R318" s="495"/>
      <c r="S318" s="495"/>
      <c r="T318" s="495"/>
      <c r="U318" s="495"/>
      <c r="V318" s="495"/>
      <c r="W318" s="495"/>
      <c r="X318" s="495"/>
      <c r="Y318" s="495"/>
      <c r="Z318" s="495"/>
      <c r="AA318" s="495"/>
      <c r="AB318" s="495"/>
      <c r="AC318" s="495"/>
      <c r="AD318" s="495"/>
      <c r="AE318" s="495"/>
      <c r="AF318" s="495"/>
      <c r="AG318" s="495"/>
      <c r="AH318" s="495"/>
      <c r="AI318" s="495"/>
      <c r="AJ318" s="495"/>
      <c r="AK318" s="495"/>
      <c r="AL318" s="495"/>
      <c r="AM318" s="495"/>
      <c r="AN318" s="495"/>
      <c r="AO318" s="495"/>
      <c r="AP318" s="495"/>
      <c r="AQ318" s="495"/>
      <c r="AR318" s="495"/>
      <c r="AS318" s="495"/>
      <c r="AT318" s="495"/>
      <c r="AU318" s="495"/>
      <c r="AV318" s="495"/>
      <c r="AW318" s="495"/>
      <c r="AX318" s="495"/>
      <c r="AY318" s="495"/>
      <c r="AZ318" s="495"/>
      <c r="BA318" s="495"/>
      <c r="BB318" s="495"/>
      <c r="BC318" s="495"/>
      <c r="BD318" s="495"/>
      <c r="BE318" s="495"/>
      <c r="BF318" s="495"/>
      <c r="BG318" s="495"/>
      <c r="BH318" s="495"/>
      <c r="BI318" s="495"/>
      <c r="BJ318" s="495"/>
      <c r="BK318" s="495"/>
      <c r="BL318" s="495"/>
    </row>
    <row r="319" spans="1:64" ht="12">
      <c r="A319" s="495"/>
      <c r="B319" s="495"/>
      <c r="C319" s="495"/>
      <c r="D319" s="495"/>
      <c r="E319" s="495"/>
      <c r="F319" s="495"/>
      <c r="G319" s="495"/>
      <c r="H319" s="495"/>
      <c r="I319" s="495"/>
      <c r="J319" s="495"/>
      <c r="K319" s="495"/>
      <c r="L319" s="495"/>
      <c r="M319" s="495"/>
      <c r="N319" s="495"/>
      <c r="O319" s="495"/>
      <c r="P319" s="495"/>
      <c r="Q319" s="495"/>
      <c r="R319" s="495"/>
      <c r="S319" s="495"/>
      <c r="T319" s="495"/>
      <c r="U319" s="495"/>
      <c r="V319" s="495"/>
      <c r="W319" s="495"/>
      <c r="X319" s="495"/>
      <c r="Y319" s="495"/>
      <c r="Z319" s="495"/>
      <c r="AA319" s="495"/>
      <c r="AB319" s="495"/>
      <c r="AC319" s="495"/>
      <c r="AD319" s="495"/>
      <c r="AE319" s="495"/>
      <c r="AF319" s="495"/>
      <c r="AG319" s="495"/>
      <c r="AH319" s="495"/>
      <c r="AI319" s="495"/>
      <c r="AJ319" s="495"/>
      <c r="AK319" s="495"/>
      <c r="AL319" s="495"/>
      <c r="AM319" s="495"/>
      <c r="AN319" s="495"/>
      <c r="AO319" s="495"/>
      <c r="AP319" s="495"/>
      <c r="AQ319" s="495"/>
      <c r="AR319" s="495"/>
      <c r="AS319" s="495"/>
      <c r="AT319" s="495"/>
      <c r="AU319" s="495"/>
      <c r="AV319" s="495"/>
      <c r="AW319" s="495"/>
      <c r="AX319" s="495"/>
      <c r="AY319" s="495"/>
      <c r="AZ319" s="495"/>
      <c r="BA319" s="495"/>
      <c r="BB319" s="495"/>
      <c r="BC319" s="495"/>
      <c r="BD319" s="495"/>
      <c r="BE319" s="495"/>
      <c r="BF319" s="495"/>
      <c r="BG319" s="495"/>
      <c r="BH319" s="495"/>
      <c r="BI319" s="495"/>
      <c r="BJ319" s="495"/>
      <c r="BK319" s="495"/>
      <c r="BL319" s="495"/>
    </row>
    <row r="320" spans="1:64" ht="12">
      <c r="A320" s="495"/>
      <c r="B320" s="495"/>
      <c r="C320" s="495"/>
      <c r="D320" s="495"/>
      <c r="E320" s="495"/>
      <c r="F320" s="495"/>
      <c r="G320" s="495"/>
      <c r="H320" s="495"/>
      <c r="I320" s="495"/>
      <c r="J320" s="495"/>
      <c r="K320" s="495"/>
      <c r="L320" s="495"/>
      <c r="M320" s="495"/>
      <c r="N320" s="495"/>
      <c r="O320" s="495"/>
      <c r="P320" s="495"/>
      <c r="Q320" s="495"/>
      <c r="R320" s="495"/>
      <c r="S320" s="495"/>
      <c r="T320" s="495"/>
      <c r="U320" s="495"/>
      <c r="V320" s="495"/>
      <c r="W320" s="495"/>
      <c r="X320" s="495"/>
      <c r="Y320" s="495"/>
      <c r="Z320" s="495"/>
      <c r="AA320" s="495"/>
      <c r="AB320" s="495"/>
      <c r="AC320" s="495"/>
      <c r="AD320" s="495"/>
      <c r="AE320" s="495"/>
      <c r="AF320" s="495"/>
      <c r="AG320" s="495"/>
      <c r="AH320" s="495"/>
      <c r="AI320" s="495"/>
      <c r="AJ320" s="495"/>
      <c r="AK320" s="495"/>
      <c r="AL320" s="495"/>
      <c r="AM320" s="495"/>
      <c r="AN320" s="495"/>
      <c r="AO320" s="495"/>
      <c r="AP320" s="495"/>
      <c r="AQ320" s="495"/>
      <c r="AR320" s="495"/>
      <c r="AS320" s="495"/>
      <c r="AT320" s="495"/>
      <c r="AU320" s="495"/>
      <c r="AV320" s="495"/>
      <c r="AW320" s="495"/>
      <c r="AX320" s="495"/>
      <c r="AY320" s="495"/>
      <c r="AZ320" s="495"/>
      <c r="BA320" s="495"/>
      <c r="BB320" s="495"/>
      <c r="BC320" s="495"/>
      <c r="BD320" s="495"/>
      <c r="BE320" s="495"/>
      <c r="BF320" s="495"/>
      <c r="BG320" s="495"/>
      <c r="BH320" s="495"/>
      <c r="BI320" s="495"/>
      <c r="BJ320" s="495"/>
      <c r="BK320" s="495"/>
      <c r="BL320" s="495"/>
    </row>
    <row r="321" spans="1:64" ht="12">
      <c r="A321" s="495"/>
      <c r="B321" s="495"/>
      <c r="C321" s="495"/>
      <c r="D321" s="495"/>
      <c r="E321" s="495"/>
      <c r="F321" s="495"/>
      <c r="G321" s="495"/>
      <c r="H321" s="495"/>
      <c r="I321" s="495"/>
      <c r="J321" s="495"/>
      <c r="K321" s="495"/>
      <c r="L321" s="495"/>
      <c r="M321" s="495"/>
      <c r="N321" s="495"/>
      <c r="O321" s="495"/>
      <c r="P321" s="495"/>
      <c r="Q321" s="495"/>
      <c r="R321" s="495"/>
      <c r="S321" s="495"/>
      <c r="T321" s="495"/>
      <c r="U321" s="495"/>
      <c r="V321" s="495"/>
      <c r="W321" s="495"/>
      <c r="X321" s="495"/>
      <c r="Y321" s="495"/>
      <c r="Z321" s="495"/>
      <c r="AA321" s="495"/>
      <c r="AB321" s="495"/>
      <c r="AC321" s="495"/>
      <c r="AD321" s="495"/>
      <c r="AE321" s="495"/>
      <c r="AF321" s="495"/>
      <c r="AG321" s="495"/>
      <c r="AH321" s="495"/>
      <c r="AI321" s="495"/>
      <c r="AJ321" s="495"/>
      <c r="AK321" s="495"/>
      <c r="AL321" s="495"/>
      <c r="AM321" s="495"/>
      <c r="AN321" s="495"/>
      <c r="AO321" s="495"/>
      <c r="AP321" s="495"/>
      <c r="AQ321" s="495"/>
      <c r="AR321" s="495"/>
      <c r="AS321" s="495"/>
      <c r="AT321" s="495"/>
      <c r="AU321" s="495"/>
      <c r="AV321" s="495"/>
      <c r="AW321" s="495"/>
      <c r="AX321" s="495"/>
      <c r="AY321" s="495"/>
      <c r="AZ321" s="495"/>
      <c r="BA321" s="495"/>
      <c r="BB321" s="495"/>
      <c r="BC321" s="495"/>
      <c r="BD321" s="495"/>
      <c r="BE321" s="495"/>
      <c r="BF321" s="495"/>
      <c r="BG321" s="495"/>
      <c r="BH321" s="495"/>
      <c r="BI321" s="495"/>
      <c r="BJ321" s="495"/>
      <c r="BK321" s="495"/>
      <c r="BL321" s="495"/>
    </row>
    <row r="322" spans="1:64" ht="12">
      <c r="A322" s="495"/>
      <c r="B322" s="495"/>
      <c r="C322" s="495"/>
      <c r="D322" s="495"/>
      <c r="E322" s="495"/>
      <c r="F322" s="495"/>
      <c r="G322" s="495"/>
      <c r="H322" s="495"/>
      <c r="I322" s="495"/>
      <c r="J322" s="495"/>
      <c r="K322" s="495"/>
      <c r="L322" s="495"/>
      <c r="M322" s="495"/>
      <c r="N322" s="495"/>
      <c r="O322" s="495"/>
      <c r="P322" s="495"/>
      <c r="Q322" s="495"/>
      <c r="R322" s="495"/>
      <c r="S322" s="495"/>
      <c r="T322" s="495"/>
      <c r="U322" s="495"/>
      <c r="V322" s="495"/>
      <c r="W322" s="495"/>
      <c r="X322" s="495"/>
      <c r="Y322" s="495"/>
      <c r="Z322" s="495"/>
      <c r="AA322" s="495"/>
      <c r="AB322" s="495"/>
      <c r="AC322" s="495"/>
      <c r="AD322" s="495"/>
      <c r="AE322" s="495"/>
      <c r="AF322" s="495"/>
      <c r="AG322" s="495"/>
      <c r="AH322" s="495"/>
      <c r="AI322" s="495"/>
      <c r="AJ322" s="495"/>
      <c r="AK322" s="495"/>
      <c r="AL322" s="495"/>
      <c r="AM322" s="495"/>
      <c r="AN322" s="495"/>
      <c r="AO322" s="495"/>
      <c r="AP322" s="495"/>
      <c r="AQ322" s="495"/>
      <c r="AR322" s="495"/>
      <c r="AS322" s="495"/>
      <c r="AT322" s="495"/>
      <c r="AU322" s="495"/>
      <c r="AV322" s="495"/>
      <c r="AW322" s="495"/>
      <c r="AX322" s="495"/>
      <c r="AY322" s="495"/>
      <c r="AZ322" s="495"/>
      <c r="BA322" s="495"/>
      <c r="BB322" s="495"/>
      <c r="BC322" s="495"/>
      <c r="BD322" s="495"/>
      <c r="BE322" s="495"/>
      <c r="BF322" s="495"/>
      <c r="BG322" s="495"/>
      <c r="BH322" s="495"/>
      <c r="BI322" s="495"/>
      <c r="BJ322" s="495"/>
      <c r="BK322" s="495"/>
      <c r="BL322" s="495"/>
    </row>
    <row r="323" spans="1:64" ht="12">
      <c r="A323" s="495"/>
      <c r="B323" s="495"/>
      <c r="C323" s="495"/>
      <c r="D323" s="495"/>
      <c r="E323" s="495"/>
      <c r="F323" s="495"/>
      <c r="G323" s="495"/>
      <c r="H323" s="495"/>
      <c r="I323" s="495"/>
      <c r="J323" s="495"/>
      <c r="K323" s="495"/>
      <c r="L323" s="495"/>
      <c r="M323" s="495"/>
      <c r="N323" s="495"/>
      <c r="O323" s="495"/>
      <c r="P323" s="495"/>
      <c r="Q323" s="495"/>
      <c r="R323" s="495"/>
      <c r="S323" s="495"/>
      <c r="T323" s="495"/>
      <c r="U323" s="495"/>
      <c r="V323" s="495"/>
      <c r="W323" s="495"/>
      <c r="X323" s="495"/>
      <c r="Y323" s="495"/>
      <c r="Z323" s="495"/>
      <c r="AA323" s="495"/>
      <c r="AB323" s="495"/>
      <c r="AC323" s="495"/>
      <c r="AD323" s="495"/>
      <c r="AE323" s="495"/>
      <c r="AF323" s="495"/>
      <c r="AG323" s="495"/>
      <c r="AH323" s="495"/>
      <c r="AI323" s="495"/>
      <c r="AJ323" s="495"/>
      <c r="AK323" s="495"/>
      <c r="AL323" s="495"/>
      <c r="AM323" s="495"/>
      <c r="AN323" s="495"/>
      <c r="AO323" s="495"/>
      <c r="AP323" s="495"/>
      <c r="AQ323" s="495"/>
      <c r="AR323" s="495"/>
      <c r="AS323" s="495"/>
      <c r="AT323" s="495"/>
      <c r="AU323" s="495"/>
      <c r="AV323" s="495"/>
      <c r="AW323" s="495"/>
      <c r="AX323" s="495"/>
      <c r="AY323" s="495"/>
      <c r="AZ323" s="495"/>
      <c r="BA323" s="495"/>
      <c r="BB323" s="495"/>
      <c r="BC323" s="495"/>
      <c r="BD323" s="495"/>
      <c r="BE323" s="495"/>
      <c r="BF323" s="495"/>
      <c r="BG323" s="495"/>
      <c r="BH323" s="495"/>
      <c r="BI323" s="495"/>
      <c r="BJ323" s="495"/>
      <c r="BK323" s="495"/>
      <c r="BL323" s="495"/>
    </row>
    <row r="324" spans="1:64" ht="12">
      <c r="A324" s="495"/>
      <c r="B324" s="495"/>
      <c r="C324" s="495"/>
      <c r="D324" s="495"/>
      <c r="E324" s="495"/>
      <c r="F324" s="495"/>
      <c r="G324" s="495"/>
      <c r="H324" s="495"/>
      <c r="I324" s="495"/>
      <c r="J324" s="495"/>
      <c r="K324" s="495"/>
      <c r="L324" s="495"/>
      <c r="M324" s="495"/>
      <c r="N324" s="495"/>
      <c r="O324" s="495"/>
      <c r="P324" s="495"/>
      <c r="Q324" s="495"/>
      <c r="R324" s="495"/>
      <c r="S324" s="495"/>
      <c r="T324" s="495"/>
      <c r="U324" s="495"/>
      <c r="V324" s="495"/>
      <c r="W324" s="495"/>
      <c r="X324" s="495"/>
      <c r="Y324" s="495"/>
      <c r="Z324" s="495"/>
      <c r="AA324" s="495"/>
      <c r="AB324" s="495"/>
      <c r="AC324" s="495"/>
      <c r="AD324" s="495"/>
      <c r="AE324" s="495"/>
      <c r="AF324" s="495"/>
      <c r="AG324" s="495"/>
      <c r="AH324" s="495"/>
      <c r="AI324" s="495"/>
      <c r="AJ324" s="495"/>
      <c r="AK324" s="495"/>
      <c r="AL324" s="495"/>
      <c r="AM324" s="495"/>
      <c r="AN324" s="495"/>
      <c r="AO324" s="495"/>
      <c r="AP324" s="495"/>
      <c r="AQ324" s="495"/>
      <c r="AR324" s="495"/>
      <c r="AS324" s="495"/>
      <c r="AT324" s="495"/>
      <c r="AU324" s="495"/>
      <c r="AV324" s="495"/>
      <c r="AW324" s="495"/>
      <c r="AX324" s="495"/>
      <c r="AY324" s="495"/>
      <c r="AZ324" s="495"/>
      <c r="BA324" s="495"/>
      <c r="BB324" s="495"/>
      <c r="BC324" s="495"/>
      <c r="BD324" s="495"/>
      <c r="BE324" s="495"/>
      <c r="BF324" s="495"/>
      <c r="BG324" s="495"/>
      <c r="BH324" s="495"/>
      <c r="BI324" s="495"/>
      <c r="BJ324" s="495"/>
      <c r="BK324" s="495"/>
      <c r="BL324" s="495"/>
    </row>
    <row r="325" spans="1:64" ht="12">
      <c r="A325" s="495"/>
      <c r="B325" s="495"/>
      <c r="C325" s="495"/>
      <c r="D325" s="495"/>
      <c r="E325" s="495"/>
      <c r="F325" s="495"/>
      <c r="G325" s="495"/>
      <c r="H325" s="495"/>
      <c r="I325" s="495"/>
      <c r="J325" s="495"/>
      <c r="K325" s="495"/>
      <c r="L325" s="495"/>
      <c r="M325" s="495"/>
      <c r="N325" s="495"/>
      <c r="O325" s="495"/>
      <c r="P325" s="495"/>
      <c r="Q325" s="495"/>
      <c r="R325" s="495"/>
      <c r="S325" s="495"/>
      <c r="T325" s="495"/>
      <c r="U325" s="495"/>
      <c r="V325" s="495"/>
      <c r="W325" s="495"/>
      <c r="X325" s="495"/>
      <c r="Y325" s="495"/>
      <c r="Z325" s="495"/>
      <c r="AA325" s="495"/>
      <c r="AB325" s="495"/>
      <c r="AC325" s="495"/>
      <c r="AD325" s="495"/>
      <c r="AE325" s="495"/>
      <c r="AF325" s="495"/>
      <c r="AG325" s="495"/>
      <c r="AH325" s="495"/>
      <c r="AI325" s="495"/>
      <c r="AJ325" s="495"/>
      <c r="AK325" s="495"/>
      <c r="AL325" s="495"/>
      <c r="AM325" s="495"/>
      <c r="AN325" s="495"/>
      <c r="AO325" s="495"/>
      <c r="AP325" s="495"/>
      <c r="AQ325" s="495"/>
      <c r="AR325" s="495"/>
      <c r="AS325" s="495"/>
      <c r="AT325" s="495"/>
      <c r="AU325" s="495"/>
      <c r="AV325" s="495"/>
      <c r="AW325" s="495"/>
      <c r="AX325" s="495"/>
      <c r="AY325" s="495"/>
      <c r="AZ325" s="495"/>
      <c r="BA325" s="495"/>
      <c r="BB325" s="495"/>
      <c r="BC325" s="495"/>
      <c r="BD325" s="495"/>
      <c r="BE325" s="495"/>
      <c r="BF325" s="495"/>
      <c r="BG325" s="495"/>
      <c r="BH325" s="495"/>
      <c r="BI325" s="495"/>
      <c r="BJ325" s="495"/>
      <c r="BK325" s="495"/>
      <c r="BL325" s="495"/>
    </row>
    <row r="326" spans="1:64" ht="12">
      <c r="A326" s="495"/>
      <c r="B326" s="495"/>
      <c r="C326" s="495"/>
      <c r="D326" s="495"/>
      <c r="E326" s="495"/>
      <c r="F326" s="495"/>
      <c r="G326" s="495"/>
      <c r="H326" s="495"/>
      <c r="I326" s="495"/>
      <c r="J326" s="495"/>
      <c r="K326" s="495"/>
      <c r="L326" s="495"/>
      <c r="M326" s="495"/>
      <c r="N326" s="495"/>
      <c r="O326" s="495"/>
      <c r="P326" s="495"/>
      <c r="Q326" s="495"/>
      <c r="R326" s="495"/>
      <c r="S326" s="495"/>
      <c r="T326" s="495"/>
      <c r="U326" s="495"/>
      <c r="V326" s="495"/>
      <c r="W326" s="495"/>
      <c r="X326" s="495"/>
      <c r="Y326" s="495"/>
      <c r="Z326" s="495"/>
      <c r="AA326" s="495"/>
      <c r="AB326" s="495"/>
      <c r="AC326" s="495"/>
      <c r="AD326" s="495"/>
      <c r="AE326" s="495"/>
      <c r="AF326" s="495"/>
      <c r="AG326" s="495"/>
      <c r="AH326" s="495"/>
      <c r="AI326" s="495"/>
      <c r="AJ326" s="495"/>
      <c r="AK326" s="495"/>
      <c r="AL326" s="495"/>
      <c r="AM326" s="495"/>
      <c r="AN326" s="495"/>
      <c r="AO326" s="495"/>
      <c r="AP326" s="495"/>
      <c r="AQ326" s="495"/>
      <c r="AR326" s="495"/>
      <c r="AS326" s="495"/>
      <c r="AT326" s="495"/>
      <c r="AU326" s="495"/>
      <c r="AV326" s="495"/>
      <c r="AW326" s="495"/>
      <c r="AX326" s="495"/>
      <c r="AY326" s="495"/>
      <c r="AZ326" s="495"/>
      <c r="BA326" s="495"/>
      <c r="BB326" s="495"/>
      <c r="BC326" s="495"/>
      <c r="BD326" s="495"/>
      <c r="BE326" s="495"/>
      <c r="BF326" s="495"/>
      <c r="BG326" s="495"/>
      <c r="BH326" s="495"/>
      <c r="BI326" s="495"/>
      <c r="BJ326" s="495"/>
      <c r="BK326" s="495"/>
      <c r="BL326" s="495"/>
    </row>
  </sheetData>
  <sheetProtection password="D8FD" sheet="1"/>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CISL SCUOLA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Napoli</dc:creator>
  <cp:keywords/>
  <dc:description/>
  <cp:lastModifiedBy>Michele</cp:lastModifiedBy>
  <cp:lastPrinted>2015-06-12T06:58:36Z</cp:lastPrinted>
  <dcterms:created xsi:type="dcterms:W3CDTF">2000-02-02T09:10:13Z</dcterms:created>
  <dcterms:modified xsi:type="dcterms:W3CDTF">2017-01-19T18:59:30Z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