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65526" windowWidth="13150" windowHeight="9200" activeTab="0"/>
  </bookViews>
  <sheets>
    <sheet name="Istruzioni" sheetId="1" r:id="rId1"/>
    <sheet name="Datipers" sheetId="2" r:id="rId2"/>
    <sheet name="Anzianità" sheetId="3" r:id="rId3"/>
    <sheet name="Retribuzioni" sheetId="4" r:id="rId4"/>
    <sheet name="Irpef" sheetId="5" r:id="rId5"/>
    <sheet name="Calcolo" sheetId="6" r:id="rId6"/>
  </sheets>
  <definedNames>
    <definedName name="_xlnm.Print_Area" localSheetId="5">'Calcolo'!$H$124:$P$173</definedName>
    <definedName name="_xlnm.Print_Area" localSheetId="4">'Irpef'!$H$173:$M$226</definedName>
    <definedName name="_xlnm.Print_Area" localSheetId="0">'Istruzioni'!$A$1:$C$70</definedName>
  </definedNames>
  <calcPr fullCalcOnLoad="1"/>
</workbook>
</file>

<file path=xl/comments3.xml><?xml version="1.0" encoding="utf-8"?>
<comments xmlns="http://schemas.openxmlformats.org/spreadsheetml/2006/main">
  <authors>
    <author>Michele</author>
  </authors>
  <commentList>
    <comment ref="D20" authorId="0">
      <text>
        <r>
          <rPr>
            <b/>
            <sz val="9"/>
            <rFont val="Tahoma"/>
            <family val="0"/>
          </rPr>
          <t>Un mese = 30 giorni
Un anno = 360 giorni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Michele</author>
    <author>NAPOLI</author>
  </authors>
  <commentList>
    <comment ref="B8" authorId="0">
      <text>
        <r>
          <rPr>
            <sz val="9"/>
            <rFont val="Tahoma"/>
            <family val="2"/>
          </rPr>
          <t>Dal 93 al 95 la classe o fascia  è determinata dal DPR 399/89 ed è di norma biennale; dal 1/1/96 in poi è determinata dal CCNL del 95 che ha sostituito ai bienni i gradoni di 6-7 anni.</t>
        </r>
        <r>
          <rPr>
            <sz val="9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0"/>
          </rPr>
          <t xml:space="preserve">Inserire lo stipendio mensile maggiorabile tabellare secondo il CCNL vigente.
Per il personale della scuola è pari ad un dodicesimo dell'importo tabellare indeicato nel CCNL.
</t>
        </r>
        <r>
          <rPr>
            <b/>
            <sz val="9"/>
            <color indexed="10"/>
            <rFont val="Tahoma"/>
            <family val="2"/>
          </rPr>
          <t xml:space="preserve">Attenzione:  Dal 2003 in poi dallo stipendio indicato nelle tabelle dei CCNL bisogna sottrarre l'indennità integrativa speciale.
</t>
        </r>
        <r>
          <rPr>
            <b/>
            <sz val="9"/>
            <rFont val="Tahoma"/>
            <family val="2"/>
          </rPr>
          <t xml:space="preserve">Per i dirigenti scolastici è pari au un tredicesimo dell'importo tabellare dal quale si deve scorporare l'indennità integrativa speciale.
</t>
        </r>
      </text>
    </comment>
    <comment ref="D8" authorId="0">
      <text>
        <r>
          <rPr>
            <b/>
            <sz val="9"/>
            <rFont val="Tahoma"/>
            <family val="0"/>
          </rPr>
          <t xml:space="preserve">Inserire la somma di eventuali voci dello stipendio riferibili a:
1) assegno ad personam assorbibile o non assorbibile
2) ore eccedenti considerate istituzionali (facenti parte della cattedra)
3) valorizzazione professionale ATA
4) indennità di vacanza contrattuale
5) fino al 31/12/95 l'indennità di funzione
    per i presidi incaricati
1) indennità per funzione superiore
    e per i dirigenti scolastici
1) RIA - retribuzione individuale di anzianità
</t>
        </r>
        <r>
          <rPr>
            <sz val="9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9"/>
            <rFont val="Tahoma"/>
            <family val="0"/>
          </rPr>
          <t>Inserire, per tipologia di personale,  l'importo mensile di:
1) Retribuzione professionale docenti
2) Compenso individuale accessorio
3) Indennità di amministrazione
4) Indennità di direzione
5) Retribuzione di risultato
           cui aggiungere
ogni altra retribuzione accessoria fissa e continuativa come le ore aggiuntive non facenti parte della cattedra e l'indennità di reggenza...</t>
        </r>
      </text>
    </comment>
    <comment ref="D5" authorId="1">
      <text>
        <r>
          <rPr>
            <sz val="8"/>
            <rFont val="Tahoma"/>
            <family val="2"/>
          </rPr>
          <t xml:space="preserve">Per convertire un valore in euro inseriscilo in lire nella cella C5
.
</t>
        </r>
      </text>
    </comment>
    <comment ref="H5" authorId="1">
      <text>
        <r>
          <rPr>
            <sz val="8"/>
            <rFont val="Tahoma"/>
            <family val="2"/>
          </rPr>
          <t xml:space="preserve">Per ottenere un importo mensile inserire l'importo annuale nella cella G5.
Nota: A partire dal 1/1/82003 nelle ricostruzioni di carriera  l'importo indicato comprende anche l'ind. int. speciale; nella cella I6 si ottiene l'importo mensile con lo scorporo dell'IIS.
</t>
        </r>
      </text>
    </comment>
    <comment ref="M7" authorId="0">
      <text>
        <r>
          <rPr>
            <b/>
            <sz val="9"/>
            <rFont val="Tahoma"/>
            <family val="0"/>
          </rPr>
          <t xml:space="preserve">Fondo di istituto e similari:
</t>
        </r>
        <r>
          <rPr>
            <sz val="9"/>
            <rFont val="Tahoma"/>
            <family val="2"/>
          </rPr>
          <t>Inserire l'importo complessivo ricevuto nel corso dell'anno solare.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J3" authorId="0">
      <text>
        <r>
          <rPr>
            <b/>
            <sz val="9"/>
            <rFont val="Tahoma"/>
            <family val="2"/>
          </rPr>
          <t>Come procurarsi le retribuzioni da inserire nella colonna C: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color indexed="10"/>
            <rFont val="Tahoma"/>
            <family val="2"/>
          </rPr>
          <t>Non ricorrere ai cedolini dello stipendio, inducono in errore!</t>
        </r>
        <r>
          <rPr>
            <sz val="9"/>
            <rFont val="Tahoma"/>
            <family val="0"/>
          </rPr>
          <t xml:space="preserve">
Bisogna munirsi della ricostruzione di carriera dei periodi interessati inviata al dipendente dall'Ufficio Ruolo del Provveditorato.
Leggere con attenzione le avvertenze nella pagina </t>
        </r>
        <r>
          <rPr>
            <b/>
            <sz val="9"/>
            <rFont val="Tahoma"/>
            <family val="2"/>
          </rPr>
          <t>Istruzioni</t>
        </r>
        <r>
          <rPr>
            <sz val="9"/>
            <rFont val="Tahoma"/>
            <family val="0"/>
          </rPr>
          <t>.</t>
        </r>
      </text>
    </comment>
    <comment ref="J8" authorId="0">
      <text>
        <r>
          <rPr>
            <b/>
            <sz val="9"/>
            <rFont val="Tahoma"/>
            <family val="0"/>
          </rPr>
          <t>Le colonne con gli orari  vanno modificate solo in caso di part-time a partire dal 1/1/96 in poi.
La colonna I va modificata solo nel caso in cui siano stati prestati servizi con qualifica e orario differenti.
Esempio: 
Docente di scuola elementare  (24) che per passaggio di ruolo diventa docente di scuola secondaria (18)</t>
        </r>
        <r>
          <rPr>
            <sz val="9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9"/>
            <rFont val="Tahoma"/>
            <family val="0"/>
          </rPr>
          <t>Le ore di part-time vanno inserite o modificate dal 1/1/96 in poi.
Dal 1/1/93 al 31/12/95 il part-time ha effetto sull'anzianità (vedi  la sezione "Anzianità" - celle D61/D63)</t>
        </r>
        <r>
          <rPr>
            <sz val="9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0"/>
          </rPr>
          <t>Per i dirigenti scolastici sommare all'ind. integrativa speciale la retribuzione di posizione fissa e variabile.</t>
        </r>
      </text>
    </comment>
  </commentList>
</comments>
</file>

<file path=xl/sharedStrings.xml><?xml version="1.0" encoding="utf-8"?>
<sst xmlns="http://schemas.openxmlformats.org/spreadsheetml/2006/main" count="828" uniqueCount="290">
  <si>
    <t xml:space="preserve"> </t>
  </si>
  <si>
    <t>by Michele Napoli</t>
  </si>
  <si>
    <t>Insegnante scuola elementare</t>
  </si>
  <si>
    <t>Pensione mensile lorda</t>
  </si>
  <si>
    <t>PENSIONE MENSILE NETTA</t>
  </si>
  <si>
    <t>Cognome e nome</t>
  </si>
  <si>
    <t>Data di nascita</t>
  </si>
  <si>
    <t>Coefficiente di trasformazione</t>
  </si>
  <si>
    <t>Età in anni</t>
  </si>
  <si>
    <t>Mesi arrotondati</t>
  </si>
  <si>
    <t>Irpef netta</t>
  </si>
  <si>
    <t xml:space="preserve">Retribuz. annua lorda pensionabile </t>
  </si>
  <si>
    <t>(comprensiva di indennità integrativa, tredicesima e maggiorazione 18% o accessorio)</t>
  </si>
  <si>
    <t xml:space="preserve">Data della decorrenza della cessazione </t>
  </si>
  <si>
    <t>Coeff.</t>
  </si>
  <si>
    <t>Retribuz.</t>
  </si>
  <si>
    <t>montante</t>
  </si>
  <si>
    <t>anno prec</t>
  </si>
  <si>
    <t>coefficiente</t>
  </si>
  <si>
    <t>rivalutato</t>
  </si>
  <si>
    <t>retribuzione</t>
  </si>
  <si>
    <t>aliquota</t>
  </si>
  <si>
    <t>contributiva</t>
  </si>
  <si>
    <t>giorni</t>
  </si>
  <si>
    <t>rivalutata</t>
  </si>
  <si>
    <t>anno corr.</t>
  </si>
  <si>
    <t>complessivo</t>
  </si>
  <si>
    <t>totale</t>
  </si>
  <si>
    <t>Totale</t>
  </si>
  <si>
    <t>Aliquota contributiva media fino al 31/12/92</t>
  </si>
  <si>
    <t>Servizio in giorni dal 1/1/93 al 31/12/95</t>
  </si>
  <si>
    <t>Servizio in giorni al 31/12/92</t>
  </si>
  <si>
    <t>Montante fino al 31/12/95</t>
  </si>
  <si>
    <t>Coefficiente aliquota media</t>
  </si>
  <si>
    <t>Coefficiente giorni</t>
  </si>
  <si>
    <t>Calcolo montante dal 1/1/96 in poi</t>
  </si>
  <si>
    <t>PENSIONE ANNUA LORDA</t>
  </si>
  <si>
    <t>Collaboratore scolastico</t>
  </si>
  <si>
    <t>Assistente amministrativo/tecnico</t>
  </si>
  <si>
    <t>Responsabile amministrativo</t>
  </si>
  <si>
    <t>Insegnante scuola materna</t>
  </si>
  <si>
    <t>Insegnante diplomato secondaria</t>
  </si>
  <si>
    <t>Insegnante scuola media</t>
  </si>
  <si>
    <t>Insegnante second. superiore</t>
  </si>
  <si>
    <t>Dirigente scolastico</t>
  </si>
  <si>
    <t>Dirigente servizi generali amministrativi</t>
  </si>
  <si>
    <t>Qualifica</t>
  </si>
  <si>
    <t>Montante alla cessazione</t>
  </si>
  <si>
    <t>Media</t>
  </si>
  <si>
    <t>Età in giorni alla fine del mese prececed. la cessaz.</t>
  </si>
  <si>
    <t>Aliquota contributiva media decennio preced. opzione</t>
  </si>
  <si>
    <t>anni</t>
  </si>
  <si>
    <t>mesi</t>
  </si>
  <si>
    <t>Età alla cessazione:</t>
  </si>
  <si>
    <t>Aliquota contributiva media per l'anzianità fino al 31/12/92</t>
  </si>
  <si>
    <t>decennio precedente opzione</t>
  </si>
  <si>
    <t>Aliquota media ultimo</t>
  </si>
  <si>
    <t>Inserire il numero dei giorni coperti da contribuzione</t>
  </si>
  <si>
    <t>Aliquota media</t>
  </si>
  <si>
    <t>minapoli software</t>
  </si>
  <si>
    <t>IRPEF 2007 PENSIONI</t>
  </si>
  <si>
    <t>Completare o modificare le celle giallo paglierino</t>
  </si>
  <si>
    <t>annua</t>
  </si>
  <si>
    <t>mensile</t>
  </si>
  <si>
    <t>Irpef lorda</t>
  </si>
  <si>
    <t>Detrazione sul reddito</t>
  </si>
  <si>
    <t>Detrazione per familiari a carico</t>
  </si>
  <si>
    <t>Scaglioni</t>
  </si>
  <si>
    <t>senza tred.</t>
  </si>
  <si>
    <t>con tred.</t>
  </si>
  <si>
    <t>Fino a €</t>
  </si>
  <si>
    <t>Pensione annua</t>
  </si>
  <si>
    <t>Da € 15.000,01 a €</t>
  </si>
  <si>
    <t>Da € 28.000,01 a €</t>
  </si>
  <si>
    <t>Da € 55.000,01 a €</t>
  </si>
  <si>
    <t>Oltre € 75.000</t>
  </si>
  <si>
    <t>Calcolo Irpef</t>
  </si>
  <si>
    <t>Reddito non superiore a € 15.000</t>
  </si>
  <si>
    <t>Calcolo deduzione per familiari a carico</t>
  </si>
  <si>
    <t>Reddito non superiore a € 28.000</t>
  </si>
  <si>
    <t>(un familiare è a carico se il suo reddito annuo non supera € 2.840,51)</t>
  </si>
  <si>
    <t>Reddito non superiore a € 55.000</t>
  </si>
  <si>
    <t>Reddito non superiore a € 75.000</t>
  </si>
  <si>
    <t>Nucleo familiare con:</t>
  </si>
  <si>
    <t>Reddito superiore a € 75.000</t>
  </si>
  <si>
    <t>lorda</t>
  </si>
  <si>
    <t>netta</t>
  </si>
  <si>
    <t>Irpef annua lorda e netta 12 mensilità</t>
  </si>
  <si>
    <t>Percentuale della detrazione (di norma 50% oppure 100%))</t>
  </si>
  <si>
    <t>Irpef mensile lorda e netta 12 mensilità</t>
  </si>
  <si>
    <t>Irpef annua lorda e netta 13 mensilità</t>
  </si>
  <si>
    <t>Sezione A</t>
  </si>
  <si>
    <t>Completare se nel nucleo familiare ci sono entrambi i genitori:</t>
  </si>
  <si>
    <t>Detrazione per carichi di famiglia</t>
  </si>
  <si>
    <t xml:space="preserve">Totale detrazioni </t>
  </si>
  <si>
    <t>Numero dei figli a carico</t>
  </si>
  <si>
    <t>Se ci sono minori di tre anni indicare il numero</t>
  </si>
  <si>
    <t>Se ci sono portatori di handicap indicare il numero</t>
  </si>
  <si>
    <t>Detrazioni sul reddito dei pensionati di età inferiore a 75 anni</t>
  </si>
  <si>
    <t>Fino a € 7.500</t>
  </si>
  <si>
    <t>Altri familiari a carico</t>
  </si>
  <si>
    <t>Fino a € 15.000</t>
  </si>
  <si>
    <t>Fino a € 55.000</t>
  </si>
  <si>
    <t>Detrazione</t>
  </si>
  <si>
    <t>Sezione B</t>
  </si>
  <si>
    <t>Detrazioni sul reddito dei pensionati di età superiore a 75 anni</t>
  </si>
  <si>
    <t>Completare se nel nucleo familiare c'è un solo genitore:</t>
  </si>
  <si>
    <t>(nubile, celibe, vedovi, separati con figli a totale loro carico)</t>
  </si>
  <si>
    <t>Se ci sono figli a carico indicare se il maggiore:</t>
  </si>
  <si>
    <t>Indicare il numero:</t>
  </si>
  <si>
    <t>Detrazioni per carichi di famiglia</t>
  </si>
  <si>
    <t xml:space="preserve">   dei figli a carico compreso il maggiore</t>
  </si>
  <si>
    <t>Nucleo familiare: 1 - un genitore    2 - due genitori</t>
  </si>
  <si>
    <t xml:space="preserve">   dei minori di tre anni esluso il primo figlio</t>
  </si>
  <si>
    <t>Percentuale</t>
  </si>
  <si>
    <t xml:space="preserve">   dei portatori di handicap esluso il primo figlio</t>
  </si>
  <si>
    <t>Detrazione per il coniuge</t>
  </si>
  <si>
    <t>Detrazione per i figli</t>
  </si>
  <si>
    <t>Detrazione per altri familiari</t>
  </si>
  <si>
    <t>Nucleo con entrambi i genitori</t>
  </si>
  <si>
    <t>correttivo</t>
  </si>
  <si>
    <t>Detrazione per coniuge a carico</t>
  </si>
  <si>
    <t>Fino a € 40.000</t>
  </si>
  <si>
    <t>Fino a € 80.000</t>
  </si>
  <si>
    <t>Di essi sono minori di tre anni per mesi</t>
  </si>
  <si>
    <t>Di essi sono portatori di handicap</t>
  </si>
  <si>
    <t>Numero di altri familiari a carico</t>
  </si>
  <si>
    <t>Limite di reddito</t>
  </si>
  <si>
    <t>Maggiorazioni della detrazione</t>
  </si>
  <si>
    <t>Calcolo detrazione</t>
  </si>
  <si>
    <t>Nucleo con un solo genitore</t>
  </si>
  <si>
    <t xml:space="preserve">Numero dei figli a carico </t>
  </si>
  <si>
    <t>Il primo figlio è minore di tre anni</t>
  </si>
  <si>
    <t>Il primo figlio è portatore di handicap</t>
  </si>
  <si>
    <t>Altri figli minori di tre anni</t>
  </si>
  <si>
    <t>Altri figli portatori di handicap</t>
  </si>
  <si>
    <t>Detrazione per il primo figlio</t>
  </si>
  <si>
    <t>Scelta detrazione primo figlio/detrazione coniuge</t>
  </si>
  <si>
    <t>Detrazione per gli altri figli oltre il primo</t>
  </si>
  <si>
    <t>Detrazioni per familiari a carico</t>
  </si>
  <si>
    <t>Contribuzione media periodo 36 mesi 1/1/93-31/12/95</t>
  </si>
  <si>
    <t>Contribuzione media periodo 18 mesi 1/7/94-31/12/95</t>
  </si>
  <si>
    <t>Periodo lavorativo fino al 31/12/92</t>
  </si>
  <si>
    <t>al</t>
  </si>
  <si>
    <t xml:space="preserve">dal </t>
  </si>
  <si>
    <t>int. spec.</t>
  </si>
  <si>
    <t>utile</t>
  </si>
  <si>
    <t>Inserimento dati personali</t>
  </si>
  <si>
    <t>Sono valide anche per il personale della scuola e per gli statali.</t>
  </si>
  <si>
    <t>N.B.: Le aliquote inserite nella colonna  D sono quelle dei lavoratori dipendenti INPS.</t>
  </si>
  <si>
    <t>tredicesima</t>
  </si>
  <si>
    <t>PERSONALE DELLA SCUOLA</t>
  </si>
  <si>
    <t>Limite di reddito per il quale si è esenti dall'IRPEF</t>
  </si>
  <si>
    <t xml:space="preserve">Inserire per ogni periodo il numero dei giorni utili a pensione </t>
  </si>
  <si>
    <t xml:space="preserve">tenendo conto dei giorni di lavoro, dei riscatti, dei periodi </t>
  </si>
  <si>
    <t>figurativi … (tutto ciò che costituisce anzianità pensionistica).</t>
  </si>
  <si>
    <t xml:space="preserve">Anno </t>
  </si>
  <si>
    <t xml:space="preserve">OPZIONE PER IL CALCOLO CONTRIBUTIVO </t>
  </si>
  <si>
    <t>OPZIONE PER IL CALCOLO CONTRIBUTIVO</t>
  </si>
  <si>
    <t>Attenzione: La possibilità di opzione, in vigore sino al 31/12/2015, è permessa solo al personale femminile.</t>
  </si>
  <si>
    <t>totale giorni</t>
  </si>
  <si>
    <t>Inserimento dati retributivi e servizio al 31/12/92</t>
  </si>
  <si>
    <t>converti in €</t>
  </si>
  <si>
    <t>Anno</t>
  </si>
  <si>
    <t>Fascia</t>
  </si>
  <si>
    <t xml:space="preserve">Stipendio </t>
  </si>
  <si>
    <t>Altri ass.</t>
  </si>
  <si>
    <t>Indennità</t>
  </si>
  <si>
    <t>Magg. 18%</t>
  </si>
  <si>
    <t>Retr. acc.</t>
  </si>
  <si>
    <t>Orario</t>
  </si>
  <si>
    <t>accessoria</t>
  </si>
  <si>
    <t>Access.</t>
  </si>
  <si>
    <t>stip.</t>
  </si>
  <si>
    <t>magg.li</t>
  </si>
  <si>
    <t>magg.le</t>
  </si>
  <si>
    <t>ricevuta</t>
  </si>
  <si>
    <t>sett.le</t>
  </si>
  <si>
    <t>fatto</t>
  </si>
  <si>
    <t>non continuativa</t>
  </si>
  <si>
    <t>continuat.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</si>
  <si>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</si>
  <si>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</si>
  <si>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</si>
  <si>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</si>
  <si>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</si>
  <si>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</si>
  <si>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</si>
  <si>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</si>
  <si>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</si>
  <si>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</si>
  <si>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</si>
  <si>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</si>
  <si>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Indennita integrativa speciale/Orario settimanale</t>
  </si>
  <si>
    <t>In caso di part-time indicare le ore nella colonna J.</t>
  </si>
  <si>
    <t xml:space="preserve">                     Retribuzione accessoria fissa mensile  (colonna H)</t>
  </si>
  <si>
    <t xml:space="preserve">               part-time</t>
  </si>
  <si>
    <t xml:space="preserve"> RETRIBUZIONE ANNUA DAL 1993 IN POI</t>
  </si>
  <si>
    <t xml:space="preserve">Quadro A - Retribuzione ordinaria fissa mensile maggiorabile del 18% (colonne C-E) </t>
  </si>
  <si>
    <t xml:space="preserve"> B - Retribuzione </t>
  </si>
  <si>
    <t>occasionale</t>
  </si>
  <si>
    <t>nota</t>
  </si>
  <si>
    <t>Accessorio</t>
  </si>
  <si>
    <t>Magg-  18%</t>
  </si>
  <si>
    <t xml:space="preserve">Accessorio </t>
  </si>
  <si>
    <t>ricevuto</t>
  </si>
  <si>
    <t>Retribuzione</t>
  </si>
  <si>
    <t>Tredicesima</t>
  </si>
  <si>
    <t>Coefficiente</t>
  </si>
  <si>
    <t>Tredicesima anno cessazione</t>
  </si>
  <si>
    <t>oppure</t>
  </si>
  <si>
    <t>Inserire o modificare solo le celle giallo paglierino</t>
  </si>
  <si>
    <t>BIANCHI BIANCA</t>
  </si>
  <si>
    <t>Il problema principale  per questo tipo di calcolo consiste nel procurarsi le retribuzioni percepite dal 1/1/93 alla cessazione.</t>
  </si>
  <si>
    <t>Bisogna evitare di rilevarle dai cedolini, non sempre corrispondono a quelle effettive e indurrebbero in errore.</t>
  </si>
  <si>
    <t>Si ricorda che le tabelle contrattuali dal 1/1/2003 comprendono anche l'indennità integrativa speciale che non fa parte della</t>
  </si>
  <si>
    <t>retribuzione maggiorabile del 18%.</t>
  </si>
  <si>
    <t>assegno ad personam dal calcolo piuttosto complesso.</t>
  </si>
  <si>
    <t>Un problema sorge con il personale in servizio di ruolo al 31/12/95.</t>
  </si>
  <si>
    <t>Infatti col passaggio dalle classi biennali ai gradoni 6/7ennali,  hanno ricevuto fino al passaggio al gradone successivo  un</t>
  </si>
  <si>
    <t>AVVERTENZE</t>
  </si>
  <si>
    <t>Per l'anno della cessazione l'indice è pari ad 1,00000</t>
  </si>
  <si>
    <t>Aggiornare gli indici in rosso quando saranno noti.</t>
  </si>
  <si>
    <t>OPZIONE CALCOLO CONTRIBUTIVO AL</t>
  </si>
  <si>
    <t>Esempio di applicazione degli indici: cessazione nel 2011</t>
  </si>
  <si>
    <t>2010: il montante maturato al 31/12/2009 si rivaluta per 1,017935, poi si aggiunge la quota maturata nel 2010</t>
  </si>
  <si>
    <t xml:space="preserve">2011: il montante maturato al 31/12/2010 non si rivaluta perché viene moltiplicato per 1,000000, poi si aggiunge la quota </t>
  </si>
  <si>
    <t xml:space="preserve">         maturata nel 2011 e si ottiene il montante definitivo per il calcolo della pensione.</t>
  </si>
  <si>
    <t>L'indice calcolato dall'ISTAT a ottobre 2010 è pari a: 1,017935</t>
  </si>
  <si>
    <t>ISTRUZIONI</t>
  </si>
  <si>
    <t>Il programma permette di calcolare la pensione di quanti esercitano l'opzione per il sistema contributivo ai sensi della</t>
  </si>
  <si>
    <t>Legge 335/95 e della Legge 243/04, secondo le indicazioni operative fornite dall'INPDAP con l'Informativa n° 65/2001.</t>
  </si>
  <si>
    <t>Ai fini del calcolo bisogna essere in possesso dei seguenti dati:</t>
  </si>
  <si>
    <t>a) retribuzione annua pensionabile per anni solari dal 1993 alla cessazione</t>
  </si>
  <si>
    <t>b) numero dei giorni utili, compresi i riscatti e i periodi figurativi,  dall'inizio dell'attivività lavorativa al 31/12/92</t>
  </si>
  <si>
    <t>Come usare questo programma:</t>
  </si>
  <si>
    <r>
      <t xml:space="preserve">1 - Andare nella sezione </t>
    </r>
    <r>
      <rPr>
        <b/>
        <sz val="12"/>
        <color indexed="10"/>
        <rFont val="Times New Roman"/>
        <family val="1"/>
      </rPr>
      <t>Datipers</t>
    </r>
    <r>
      <rPr>
        <sz val="12"/>
        <rFont val="Times New Roman"/>
        <family val="1"/>
      </rPr>
      <t xml:space="preserve"> e inserire i dati personali essenziali.</t>
    </r>
  </si>
  <si>
    <r>
      <t xml:space="preserve">2 - Andare nella sezione </t>
    </r>
    <r>
      <rPr>
        <b/>
        <sz val="12"/>
        <color indexed="10"/>
        <rFont val="Times New Roman"/>
        <family val="1"/>
      </rPr>
      <t>Datiretrib</t>
    </r>
    <r>
      <rPr>
        <sz val="12"/>
        <rFont val="Times New Roman"/>
        <family val="1"/>
      </rPr>
      <t xml:space="preserve"> e inserire i giorni di lavoro fino al 31/12/92 e le retribuzioni dal 1/1/93 alla cessazione.</t>
    </r>
  </si>
  <si>
    <r>
      <t xml:space="preserve">3 - Se ci sono persone fiscalmente a carico andare nella sezione </t>
    </r>
    <r>
      <rPr>
        <b/>
        <sz val="12"/>
        <color indexed="10"/>
        <rFont val="Times New Roman"/>
        <family val="1"/>
      </rPr>
      <t xml:space="preserve">Irpef </t>
    </r>
    <r>
      <rPr>
        <sz val="12"/>
        <rFont val="Times New Roman"/>
        <family val="1"/>
      </rPr>
      <t>e indicare quanto richiesto, altrimenti saltare diret-</t>
    </r>
  </si>
  <si>
    <r>
      <t xml:space="preserve">     tamente alla sezione </t>
    </r>
    <r>
      <rPr>
        <b/>
        <sz val="12"/>
        <color indexed="10"/>
        <rFont val="Times New Roman"/>
        <family val="1"/>
      </rPr>
      <t>Calcolo.</t>
    </r>
  </si>
  <si>
    <r>
      <t xml:space="preserve">4 - Nella sezione </t>
    </r>
    <r>
      <rPr>
        <b/>
        <sz val="12"/>
        <color indexed="10"/>
        <rFont val="Times New Roman"/>
        <family val="1"/>
      </rPr>
      <t>Calcolo</t>
    </r>
    <r>
      <rPr>
        <sz val="12"/>
        <rFont val="Times New Roman"/>
        <family val="1"/>
      </rPr>
      <t xml:space="preserve"> è possibile verificare ed eventualmente stampare il risultato.</t>
    </r>
  </si>
  <si>
    <t>Le celle in cui si devono inserire o modificare i dati hanno lo sfondo color giallo paglierino.</t>
  </si>
  <si>
    <t>Tutte le celle contenenti formule sono bloccate onde evitare la cancellzione involontaria.</t>
  </si>
  <si>
    <t>Per l'inserimento dei dati si può scaricare il fac-simile del programma con l'esempio.</t>
  </si>
  <si>
    <t>NORMATIVA</t>
  </si>
  <si>
    <t>(Comma 9, art. 1 della legge 243/2004)</t>
  </si>
  <si>
    <t xml:space="preserve">9. In via sperimentale, fino al 31 dicembre 2015, è confermata la possibilità di conseguire il diritto all'accesso al trattamento </t>
  </si>
  <si>
    <t>pensionistico di anzianità, in presenza di un'anzianità contributiva pari o superiore a trentacinque anni e di un'età pari o supe-</t>
  </si>
  <si>
    <t>riore a 57 anni per le lavoratrici dipendenti e a 58 anni per le lavoratrici autonome, nei confronti delle lavoratrici che optano</t>
  </si>
  <si>
    <t>per una liquidazione  del trattamento medesimo  secondo le regole di calcolo  del sistema contributivo previste dal decreto</t>
  </si>
  <si>
    <t xml:space="preserve">legislativo 30 aprile 1997, n. 180.   Entro il 31 dicembre 2015  il Governo verifica i risultati della predetta sperimentazione, </t>
  </si>
  <si>
    <t xml:space="preserve">al fine di una sua eventuale prosecuzione. </t>
  </si>
  <si>
    <t>L'unica fonte certa per questo elemento è la ricostruzione di carriera.</t>
  </si>
  <si>
    <r>
      <t xml:space="preserve">Gli importi da inserire sono quelli mensili in euro. Per agevolare l'inserimento nella pagina </t>
    </r>
    <r>
      <rPr>
        <b/>
        <sz val="12"/>
        <rFont val="Times New Roman"/>
        <family val="1"/>
      </rPr>
      <t xml:space="preserve">Retribuzioni, nella riga 5, </t>
    </r>
    <r>
      <rPr>
        <sz val="12"/>
        <rFont val="Times New Roman"/>
        <family val="1"/>
      </rPr>
      <t>sono</t>
    </r>
  </si>
  <si>
    <t>Questo programma è impostato in modo specifico per il personale della scuola.</t>
  </si>
  <si>
    <t>disponibili due convertitori:</t>
  </si>
  <si>
    <t>Attenzione! Le celle col triangolino rosso contengono delle note esplicative molto importanti.</t>
  </si>
  <si>
    <t>e dividi x 12</t>
  </si>
  <si>
    <t>dividi  x 12</t>
  </si>
  <si>
    <t>e sottrai I.I.S.</t>
  </si>
  <si>
    <r>
      <t xml:space="preserve">lire-euro:   </t>
    </r>
    <r>
      <rPr>
        <sz val="12"/>
        <rFont val="Times New Roman"/>
        <family val="1"/>
      </rPr>
      <t xml:space="preserve"> inserendo in C5 un valore in lire si rileva in E5 lo stesso importo in euro e in E6 viene diviso per 12.</t>
    </r>
  </si>
  <si>
    <r>
      <t xml:space="preserve">annuo-mensile:   </t>
    </r>
    <r>
      <rPr>
        <sz val="12"/>
        <rFont val="Times New Roman"/>
        <family val="1"/>
      </rPr>
      <t xml:space="preserve"> inserendo in G5 un valore annuo in euro si rileva in I5 l'importo mensile e in I7 senza ind. int. sp.</t>
    </r>
  </si>
  <si>
    <t>(Esempio: gg. 150 con part-time al 50% inserire giorni 75)</t>
  </si>
  <si>
    <r>
      <t>Servizi di ruolo:</t>
    </r>
    <r>
      <rPr>
        <b/>
        <sz val="10"/>
        <rFont val="Arial"/>
        <family val="2"/>
      </rPr>
      <t xml:space="preserve"> in caso di part-time i giorni da inserire devono essere rapportati al part-time.</t>
    </r>
  </si>
  <si>
    <t xml:space="preserve">      PENSIONE CON OPZIONE PER CALCOLO CONTRIBUTIVO AL</t>
  </si>
  <si>
    <t>Le retribuzioni sono aggiornate al CCNL del biennio 2008/09 con IVC 2010.</t>
  </si>
  <si>
    <t>età alla cessazione</t>
  </si>
  <si>
    <t>età in giorni</t>
  </si>
  <si>
    <t>con IIS</t>
  </si>
  <si>
    <t>Trattenura IRPERF</t>
  </si>
  <si>
    <t>Gli indici Pil sono aggiornati fino al 2011. Quelli successivi sono indicati su base previsionale.</t>
  </si>
  <si>
    <t>Coefficienti di trasformazione 2012</t>
  </si>
  <si>
    <t>Coefficienti di trasformazione 2013</t>
  </si>
  <si>
    <t>Calcolo coefficiente</t>
  </si>
  <si>
    <t>Contribuzione media periodo 1/1/93-31/12/95</t>
  </si>
  <si>
    <t>contribuzione media 36 mesi</t>
  </si>
  <si>
    <t>contribuzione media 18 mesi</t>
  </si>
  <si>
    <t>Coefficienti di trasformazione 2016</t>
  </si>
  <si>
    <t>aggiornare febbraio 2017</t>
  </si>
  <si>
    <t>Gli indici di rivalutazione del montante sono resi noti dall'ISTAT  all'inizio dell'anno e sono validi per rivalutare l'anno precedente.</t>
  </si>
  <si>
    <t>aggiornare febbraio 2018</t>
  </si>
  <si>
    <t>aggiornare febbraio 2019</t>
  </si>
  <si>
    <t>aggiornare febbraio 2020</t>
  </si>
  <si>
    <t>aggiornare febbraio 2021</t>
  </si>
  <si>
    <t>Il modo più semplice è chiedere alla Direzione Provinciale del Tesoro, che corrisponde gli stipendi, un prospetto riepilogativo</t>
  </si>
  <si>
    <t>delle retribuzioni effettivamente ricevute.</t>
  </si>
  <si>
    <t>In alternativa la fonte più attendibile è la ricostruzione di carriera, essenziale almeno per il periodo 1993-2000.</t>
  </si>
  <si>
    <t>In mancanza della ricostruzione di carriera, con un minimo di conoscenze sugli aspetti retributivi,  si possono usare le</t>
  </si>
  <si>
    <r>
      <t xml:space="preserve">tabelle stipendiali dei vari contratti; in questo caso nel sito    </t>
    </r>
    <r>
      <rPr>
        <b/>
        <sz val="12"/>
        <rFont val="Times New Roman"/>
        <family val="1"/>
      </rPr>
      <t xml:space="preserve">www.stipendiscuola.it,  </t>
    </r>
    <r>
      <rPr>
        <sz val="12"/>
        <rFont val="Times New Roman"/>
        <family val="1"/>
      </rPr>
      <t xml:space="preserve">  nella sezione </t>
    </r>
    <r>
      <rPr>
        <b/>
        <sz val="12"/>
        <rFont val="Times New Roman"/>
        <family val="1"/>
      </rPr>
      <t>Tabelle</t>
    </r>
    <r>
      <rPr>
        <sz val="12"/>
        <rFont val="Times New Roman"/>
        <family val="1"/>
      </rPr>
      <t>,  potete trovare</t>
    </r>
  </si>
  <si>
    <t>le elaborazioni di tutte le tabelle contrattuali dal 1/5/1990 al 1/7/2010 (ultima variazione).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</si>
</sst>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_ ;\-#,##0\ "/>
    <numFmt numFmtId="167" formatCode="0.0000"/>
    <numFmt numFmtId="168" formatCode="0.000000"/>
    <numFmt numFmtId="169" formatCode="_-* #,##0.00_-;\-* #,##0.00_-;_-* &quot;-&quot;_-;_-@_-"/>
    <numFmt numFmtId="170" formatCode="_-* #,##0.000_-;\-* #,##0.000_-;_-* &quot;-&quot;_-;_-@_-"/>
    <numFmt numFmtId="171" formatCode="d/m/yyyy"/>
    <numFmt numFmtId="172" formatCode="_-[$€-2]\ * #,##0.00_-;\-[$€-2]\ * #,##0.00_-;_-[$€-2]\ * &quot;-&quot;??_-"/>
    <numFmt numFmtId="173" formatCode="_-* #,##0.000_-;\-* #,##0.000_-;_-* &quot;-&quot;??_-;_-@_-"/>
    <numFmt numFmtId="174" formatCode="_-* #,##0.0000_-;\-* #,##0.0000_-;_-* &quot;-&quot;??_-;_-@_-"/>
    <numFmt numFmtId="175" formatCode="_-* #,##0_-;\-* #,##0_-;_-* &quot;-&quot;??_-;_-@_-"/>
    <numFmt numFmtId="176" formatCode="_-* #,##0.000000_-;\-* #,##0.000000_-;_-* &quot;-&quot;??_-;_-@_-"/>
    <numFmt numFmtId="177" formatCode=";;;"/>
    <numFmt numFmtId="178" formatCode="[$-410]d\-mmm\-yy;@"/>
    <numFmt numFmtId="179" formatCode="0.00000"/>
    <numFmt numFmtId="180" formatCode="_-* #,##0.000_-;\-* #,##0.000_-;_-* &quot;-&quot;???_-;_-@_-"/>
    <numFmt numFmtId="181" formatCode="_-* #,##0.0000_-;\-* #,##0.0000_-;_-* &quot;-&quot;_-;_-@_-"/>
    <numFmt numFmtId="182" formatCode="_-* #,##0.0000_-;\-* #,##0.0000_-;_-* &quot;-&quot;????_-;_-@_-"/>
    <numFmt numFmtId="183" formatCode="_-* #,##0.0_-;\-* #,##0.0_-;_-* &quot;-&quot;??_-;_-@_-"/>
    <numFmt numFmtId="184" formatCode="[$-410]dddd\ d\ mmmm\ yyyy"/>
    <numFmt numFmtId="185" formatCode="0.000"/>
    <numFmt numFmtId="186" formatCode="_-[$€-2]\ * #,##0.00_-;\-[$€-2]\ * #,##0.00_-;_-[$€-2]\ * &quot;-&quot;??_-;_-@_-"/>
    <numFmt numFmtId="187" formatCode="[$£-809]#,##0"/>
    <numFmt numFmtId="188" formatCode="[$-410]mmm\-yy;@"/>
    <numFmt numFmtId="189" formatCode="0_ ;\-0\ "/>
    <numFmt numFmtId="190" formatCode="_-* #,##0.0000000_-;\-* #,##0.0000000_-;_-* &quot;-&quot;??_-;_-@_-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26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9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6"/>
      <color indexed="9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5"/>
      <name val="Arial"/>
      <family val="0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b/>
      <sz val="9"/>
      <color indexed="10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40"/>
      <name val="Arial"/>
      <family val="0"/>
    </font>
    <font>
      <sz val="8"/>
      <color indexed="41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1" applyNumberFormat="0" applyAlignment="0" applyProtection="0"/>
    <xf numFmtId="0" fontId="19" fillId="0" borderId="2" applyNumberFormat="0" applyFill="0" applyAlignment="0" applyProtection="0"/>
    <xf numFmtId="0" fontId="20" fillId="1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172" fontId="0" fillId="0" borderId="0" applyFon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0" fontId="23" fillId="10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9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 applyProtection="1">
      <alignment/>
      <protection/>
    </xf>
    <xf numFmtId="0" fontId="0" fillId="18" borderId="0" xfId="0" applyFill="1" applyAlignment="1" applyProtection="1">
      <alignment horizontal="center"/>
      <protection/>
    </xf>
    <xf numFmtId="0" fontId="0" fillId="18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9" borderId="0" xfId="0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0" fontId="0" fillId="19" borderId="0" xfId="0" applyFill="1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0" fillId="19" borderId="0" xfId="0" applyFill="1" applyAlignment="1">
      <alignment/>
    </xf>
    <xf numFmtId="0" fontId="6" fillId="19" borderId="0" xfId="0" applyFont="1" applyFill="1" applyAlignment="1" applyProtection="1">
      <alignment horizontal="left"/>
      <protection/>
    </xf>
    <xf numFmtId="0" fontId="1" fillId="19" borderId="0" xfId="0" applyFont="1" applyFill="1" applyAlignment="1" applyProtection="1">
      <alignment horizontal="center"/>
      <protection/>
    </xf>
    <xf numFmtId="0" fontId="0" fillId="19" borderId="0" xfId="0" applyFill="1" applyAlignment="1" applyProtection="1">
      <alignment horizontal="center"/>
      <protection/>
    </xf>
    <xf numFmtId="41" fontId="1" fillId="19" borderId="0" xfId="47" applyFont="1" applyFill="1" applyAlignment="1" applyProtection="1">
      <alignment/>
      <protection/>
    </xf>
    <xf numFmtId="0" fontId="5" fillId="19" borderId="0" xfId="0" applyFont="1" applyFill="1" applyAlignment="1" applyProtection="1">
      <alignment/>
      <protection/>
    </xf>
    <xf numFmtId="0" fontId="1" fillId="19" borderId="0" xfId="0" applyFont="1" applyFill="1" applyAlignment="1" applyProtection="1">
      <alignment/>
      <protection/>
    </xf>
    <xf numFmtId="0" fontId="7" fillId="19" borderId="0" xfId="0" applyFont="1" applyFill="1" applyAlignment="1" applyProtection="1">
      <alignment horizontal="left"/>
      <protection/>
    </xf>
    <xf numFmtId="0" fontId="0" fillId="20" borderId="0" xfId="0" applyFill="1" applyAlignment="1" applyProtection="1">
      <alignment/>
      <protection/>
    </xf>
    <xf numFmtId="41" fontId="0" fillId="20" borderId="0" xfId="0" applyNumberFormat="1" applyFill="1" applyAlignment="1" applyProtection="1">
      <alignment/>
      <protection/>
    </xf>
    <xf numFmtId="0" fontId="2" fillId="2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1" fontId="0" fillId="0" borderId="0" xfId="47" applyFont="1" applyAlignment="1" applyProtection="1">
      <alignment horizontal="center"/>
      <protection/>
    </xf>
    <xf numFmtId="41" fontId="1" fillId="0" borderId="0" xfId="47" applyFont="1" applyAlignment="1" applyProtection="1">
      <alignment horizontal="center"/>
      <protection/>
    </xf>
    <xf numFmtId="41" fontId="8" fillId="0" borderId="0" xfId="0" applyNumberFormat="1" applyFont="1" applyAlignment="1" applyProtection="1">
      <alignment horizontal="center"/>
      <protection/>
    </xf>
    <xf numFmtId="0" fontId="9" fillId="0" borderId="0" xfId="36" applyAlignment="1" applyProtection="1">
      <alignment/>
      <protection/>
    </xf>
    <xf numFmtId="0" fontId="1" fillId="9" borderId="0" xfId="0" applyFont="1" applyFill="1" applyAlignment="1" applyProtection="1">
      <alignment/>
      <protection/>
    </xf>
    <xf numFmtId="41" fontId="5" fillId="19" borderId="0" xfId="47" applyFont="1" applyFill="1" applyAlignment="1" applyProtection="1">
      <alignment/>
      <protection/>
    </xf>
    <xf numFmtId="169" fontId="0" fillId="0" borderId="0" xfId="47" applyNumberFormat="1" applyFont="1" applyAlignment="1" applyProtection="1">
      <alignment horizontal="center"/>
      <protection/>
    </xf>
    <xf numFmtId="169" fontId="1" fillId="0" borderId="0" xfId="47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69" fontId="5" fillId="0" borderId="0" xfId="47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9" fontId="0" fillId="19" borderId="0" xfId="47" applyNumberFormat="1" applyFill="1" applyAlignment="1" applyProtection="1">
      <alignment/>
      <protection/>
    </xf>
    <xf numFmtId="41" fontId="0" fillId="19" borderId="0" xfId="47" applyFill="1" applyAlignment="1" applyProtection="1">
      <alignment/>
      <protection/>
    </xf>
    <xf numFmtId="10" fontId="0" fillId="19" borderId="0" xfId="51" applyNumberFormat="1" applyFont="1" applyFill="1" applyAlignment="1" applyProtection="1">
      <alignment/>
      <protection/>
    </xf>
    <xf numFmtId="41" fontId="0" fillId="20" borderId="0" xfId="47" applyFill="1" applyAlignment="1" applyProtection="1">
      <alignment/>
      <protection/>
    </xf>
    <xf numFmtId="2" fontId="0" fillId="19" borderId="0" xfId="0" applyNumberFormat="1" applyFill="1" applyAlignment="1" applyProtection="1">
      <alignment/>
      <protection/>
    </xf>
    <xf numFmtId="167" fontId="0" fillId="19" borderId="0" xfId="0" applyNumberFormat="1" applyFill="1" applyAlignment="1" applyProtection="1">
      <alignment/>
      <protection/>
    </xf>
    <xf numFmtId="1" fontId="0" fillId="19" borderId="0" xfId="0" applyNumberFormat="1" applyFill="1" applyAlignment="1" applyProtection="1">
      <alignment/>
      <protection/>
    </xf>
    <xf numFmtId="41" fontId="0" fillId="19" borderId="0" xfId="47" applyFont="1" applyFill="1" applyAlignment="1" applyProtection="1">
      <alignment/>
      <protection/>
    </xf>
    <xf numFmtId="169" fontId="5" fillId="19" borderId="0" xfId="0" applyNumberFormat="1" applyFont="1" applyFill="1" applyAlignment="1" applyProtection="1">
      <alignment/>
      <protection/>
    </xf>
    <xf numFmtId="4" fontId="5" fillId="19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5" fillId="9" borderId="0" xfId="0" applyFont="1" applyFill="1" applyAlignment="1" applyProtection="1">
      <alignment/>
      <protection/>
    </xf>
    <xf numFmtId="41" fontId="0" fillId="19" borderId="0" xfId="0" applyNumberFormat="1" applyFill="1" applyAlignment="1" applyProtection="1">
      <alignment/>
      <protection/>
    </xf>
    <xf numFmtId="0" fontId="0" fillId="9" borderId="0" xfId="0" applyFill="1" applyAlignment="1" applyProtection="1">
      <alignment horizontal="right"/>
      <protection/>
    </xf>
    <xf numFmtId="0" fontId="1" fillId="20" borderId="0" xfId="0" applyFont="1" applyFill="1" applyAlignment="1" applyProtection="1">
      <alignment/>
      <protection/>
    </xf>
    <xf numFmtId="171" fontId="12" fillId="0" borderId="0" xfId="0" applyNumberFormat="1" applyFont="1" applyAlignment="1" applyProtection="1">
      <alignment horizontal="center"/>
      <protection/>
    </xf>
    <xf numFmtId="41" fontId="0" fillId="0" borderId="0" xfId="0" applyNumberFormat="1" applyAlignment="1" applyProtection="1">
      <alignment/>
      <protection/>
    </xf>
    <xf numFmtId="0" fontId="0" fillId="20" borderId="10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/>
      <protection/>
    </xf>
    <xf numFmtId="43" fontId="0" fillId="19" borderId="0" xfId="46" applyFont="1" applyFill="1" applyAlignment="1" applyProtection="1">
      <alignment/>
      <protection/>
    </xf>
    <xf numFmtId="43" fontId="0" fillId="19" borderId="0" xfId="46" applyFont="1" applyFill="1" applyAlignment="1" applyProtection="1">
      <alignment/>
      <protection/>
    </xf>
    <xf numFmtId="0" fontId="0" fillId="20" borderId="13" xfId="0" applyFill="1" applyBorder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19" borderId="11" xfId="0" applyFont="1" applyFill="1" applyBorder="1" applyAlignment="1" applyProtection="1">
      <alignment horizontal="center"/>
      <protection/>
    </xf>
    <xf numFmtId="0" fontId="0" fillId="9" borderId="0" xfId="0" applyFill="1" applyAlignment="1" applyProtection="1">
      <alignment horizontal="left"/>
      <protection/>
    </xf>
    <xf numFmtId="176" fontId="0" fillId="19" borderId="11" xfId="46" applyNumberFormat="1" applyFont="1" applyFill="1" applyBorder="1" applyAlignment="1" applyProtection="1">
      <alignment horizontal="center"/>
      <protection/>
    </xf>
    <xf numFmtId="176" fontId="0" fillId="19" borderId="11" xfId="46" applyNumberFormat="1" applyFont="1" applyFill="1" applyBorder="1" applyAlignment="1" applyProtection="1">
      <alignment horizontal="center"/>
      <protection/>
    </xf>
    <xf numFmtId="0" fontId="13" fillId="18" borderId="0" xfId="0" applyFont="1" applyFill="1" applyAlignment="1" applyProtection="1">
      <alignment horizontal="left"/>
      <protection/>
    </xf>
    <xf numFmtId="43" fontId="0" fillId="20" borderId="11" xfId="46" applyFont="1" applyFill="1" applyBorder="1" applyAlignment="1" applyProtection="1">
      <alignment/>
      <protection/>
    </xf>
    <xf numFmtId="176" fontId="0" fillId="20" borderId="11" xfId="46" applyNumberFormat="1" applyFont="1" applyFill="1" applyBorder="1" applyAlignment="1" applyProtection="1">
      <alignment/>
      <protection/>
    </xf>
    <xf numFmtId="0" fontId="0" fillId="20" borderId="11" xfId="46" applyNumberFormat="1" applyFont="1" applyFill="1" applyBorder="1" applyAlignment="1" applyProtection="1">
      <alignment horizontal="center"/>
      <protection/>
    </xf>
    <xf numFmtId="0" fontId="0" fillId="20" borderId="14" xfId="0" applyFill="1" applyBorder="1" applyAlignment="1" applyProtection="1">
      <alignment horizontal="center"/>
      <protection/>
    </xf>
    <xf numFmtId="0" fontId="0" fillId="20" borderId="15" xfId="0" applyFill="1" applyBorder="1" applyAlignment="1" applyProtection="1">
      <alignment horizontal="center"/>
      <protection/>
    </xf>
    <xf numFmtId="0" fontId="5" fillId="20" borderId="11" xfId="0" applyFont="1" applyFill="1" applyBorder="1" applyAlignment="1" applyProtection="1">
      <alignment horizontal="center"/>
      <protection/>
    </xf>
    <xf numFmtId="43" fontId="5" fillId="20" borderId="11" xfId="0" applyNumberFormat="1" applyFont="1" applyFill="1" applyBorder="1" applyAlignment="1" applyProtection="1">
      <alignment/>
      <protection/>
    </xf>
    <xf numFmtId="0" fontId="1" fillId="20" borderId="11" xfId="0" applyFont="1" applyFill="1" applyBorder="1" applyAlignment="1" applyProtection="1">
      <alignment horizontal="center"/>
      <protection/>
    </xf>
    <xf numFmtId="43" fontId="0" fillId="19" borderId="0" xfId="0" applyNumberFormat="1" applyFill="1" applyAlignment="1" applyProtection="1">
      <alignment/>
      <protection/>
    </xf>
    <xf numFmtId="174" fontId="0" fillId="19" borderId="0" xfId="0" applyNumberFormat="1" applyFill="1" applyAlignment="1" applyProtection="1">
      <alignment/>
      <protection/>
    </xf>
    <xf numFmtId="175" fontId="0" fillId="19" borderId="0" xfId="46" applyNumberFormat="1" applyFont="1" applyFill="1" applyAlignment="1" applyProtection="1">
      <alignment/>
      <protection/>
    </xf>
    <xf numFmtId="43" fontId="1" fillId="19" borderId="0" xfId="46" applyFont="1" applyFill="1" applyAlignment="1" applyProtection="1">
      <alignment/>
      <protection/>
    </xf>
    <xf numFmtId="0" fontId="2" fillId="9" borderId="0" xfId="0" applyFont="1" applyFill="1" applyAlignment="1" applyProtection="1">
      <alignment/>
      <protection/>
    </xf>
    <xf numFmtId="43" fontId="5" fillId="20" borderId="11" xfId="46" applyFont="1" applyFill="1" applyBorder="1" applyAlignment="1" applyProtection="1">
      <alignment/>
      <protection/>
    </xf>
    <xf numFmtId="43" fontId="5" fillId="19" borderId="0" xfId="0" applyNumberFormat="1" applyFont="1" applyFill="1" applyAlignment="1" applyProtection="1">
      <alignment/>
      <protection/>
    </xf>
    <xf numFmtId="0" fontId="0" fillId="19" borderId="0" xfId="47" applyNumberForma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171" fontId="12" fillId="19" borderId="0" xfId="0" applyNumberFormat="1" applyFont="1" applyFill="1" applyAlignment="1" applyProtection="1">
      <alignment horizontal="left"/>
      <protection/>
    </xf>
    <xf numFmtId="175" fontId="0" fillId="0" borderId="0" xfId="46" applyNumberFormat="1" applyFont="1" applyAlignment="1" applyProtection="1">
      <alignment/>
      <protection/>
    </xf>
    <xf numFmtId="14" fontId="0" fillId="2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20" borderId="16" xfId="0" applyFill="1" applyBorder="1" applyAlignment="1" applyProtection="1">
      <alignment/>
      <protection/>
    </xf>
    <xf numFmtId="0" fontId="0" fillId="20" borderId="17" xfId="0" applyFill="1" applyBorder="1" applyAlignment="1" applyProtection="1">
      <alignment/>
      <protection/>
    </xf>
    <xf numFmtId="0" fontId="0" fillId="19" borderId="11" xfId="0" applyFill="1" applyBorder="1" applyAlignment="1" applyProtection="1">
      <alignment/>
      <protection/>
    </xf>
    <xf numFmtId="2" fontId="0" fillId="19" borderId="11" xfId="46" applyNumberFormat="1" applyFont="1" applyFill="1" applyBorder="1" applyAlignment="1" applyProtection="1">
      <alignment horizontal="center"/>
      <protection/>
    </xf>
    <xf numFmtId="43" fontId="0" fillId="19" borderId="11" xfId="46" applyFont="1" applyFill="1" applyBorder="1" applyAlignment="1" applyProtection="1">
      <alignment horizontal="center"/>
      <protection/>
    </xf>
    <xf numFmtId="2" fontId="0" fillId="19" borderId="11" xfId="0" applyNumberFormat="1" applyFill="1" applyBorder="1" applyAlignment="1" applyProtection="1">
      <alignment horizontal="center"/>
      <protection/>
    </xf>
    <xf numFmtId="43" fontId="1" fillId="19" borderId="11" xfId="46" applyFont="1" applyFill="1" applyBorder="1" applyAlignment="1" applyProtection="1">
      <alignment horizontal="center"/>
      <protection/>
    </xf>
    <xf numFmtId="43" fontId="5" fillId="19" borderId="11" xfId="0" applyNumberFormat="1" applyFont="1" applyFill="1" applyBorder="1" applyAlignment="1" applyProtection="1">
      <alignment/>
      <protection/>
    </xf>
    <xf numFmtId="0" fontId="0" fillId="20" borderId="18" xfId="0" applyFill="1" applyBorder="1" applyAlignment="1" applyProtection="1">
      <alignment/>
      <protection/>
    </xf>
    <xf numFmtId="0" fontId="0" fillId="20" borderId="19" xfId="0" applyFill="1" applyBorder="1" applyAlignment="1" applyProtection="1">
      <alignment/>
      <protection/>
    </xf>
    <xf numFmtId="166" fontId="0" fillId="20" borderId="11" xfId="47" applyNumberFormat="1" applyFill="1" applyBorder="1" applyAlignment="1" applyProtection="1">
      <alignment/>
      <protection/>
    </xf>
    <xf numFmtId="0" fontId="0" fillId="20" borderId="20" xfId="0" applyFill="1" applyBorder="1" applyAlignment="1" applyProtection="1">
      <alignment horizontal="center"/>
      <protection/>
    </xf>
    <xf numFmtId="0" fontId="5" fillId="19" borderId="17" xfId="0" applyFont="1" applyFill="1" applyBorder="1" applyAlignment="1" applyProtection="1">
      <alignment/>
      <protection/>
    </xf>
    <xf numFmtId="0" fontId="5" fillId="19" borderId="18" xfId="0" applyFont="1" applyFill="1" applyBorder="1" applyAlignment="1" applyProtection="1">
      <alignment/>
      <protection/>
    </xf>
    <xf numFmtId="0" fontId="5" fillId="19" borderId="19" xfId="0" applyFont="1" applyFill="1" applyBorder="1" applyAlignment="1" applyProtection="1">
      <alignment/>
      <protection/>
    </xf>
    <xf numFmtId="0" fontId="1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14" fillId="19" borderId="0" xfId="0" applyFont="1" applyFill="1" applyAlignment="1">
      <alignment/>
    </xf>
    <xf numFmtId="3" fontId="1" fillId="19" borderId="11" xfId="46" applyNumberFormat="1" applyFont="1" applyFill="1" applyBorder="1" applyAlignment="1" applyProtection="1">
      <alignment horizontal="center"/>
      <protection/>
    </xf>
    <xf numFmtId="0" fontId="0" fillId="9" borderId="0" xfId="0" applyFill="1" applyAlignment="1" applyProtection="1">
      <alignment/>
      <protection locked="0"/>
    </xf>
    <xf numFmtId="0" fontId="1" fillId="9" borderId="0" xfId="0" applyFont="1" applyFill="1" applyAlignment="1" applyProtection="1">
      <alignment horizontal="left"/>
      <protection/>
    </xf>
    <xf numFmtId="43" fontId="1" fillId="20" borderId="11" xfId="46" applyFont="1" applyFill="1" applyBorder="1" applyAlignment="1" applyProtection="1">
      <alignment/>
      <protection/>
    </xf>
    <xf numFmtId="0" fontId="0" fillId="19" borderId="0" xfId="0" applyFill="1" applyAlignment="1">
      <alignment horizontal="right"/>
    </xf>
    <xf numFmtId="0" fontId="33" fillId="18" borderId="0" xfId="0" applyFont="1" applyFill="1" applyAlignment="1" applyProtection="1">
      <alignment horizontal="left"/>
      <protection/>
    </xf>
    <xf numFmtId="169" fontId="5" fillId="9" borderId="0" xfId="0" applyNumberFormat="1" applyFont="1" applyFill="1" applyAlignment="1" applyProtection="1">
      <alignment horizontal="center"/>
      <protection/>
    </xf>
    <xf numFmtId="169" fontId="5" fillId="9" borderId="0" xfId="0" applyNumberFormat="1" applyFont="1" applyFill="1" applyAlignment="1" applyProtection="1">
      <alignment/>
      <protection/>
    </xf>
    <xf numFmtId="0" fontId="0" fillId="9" borderId="11" xfId="0" applyFill="1" applyBorder="1" applyAlignment="1" applyProtection="1">
      <alignment horizontal="center"/>
      <protection/>
    </xf>
    <xf numFmtId="169" fontId="5" fillId="9" borderId="11" xfId="0" applyNumberFormat="1" applyFont="1" applyFill="1" applyBorder="1" applyAlignment="1" applyProtection="1">
      <alignment horizontal="center"/>
      <protection/>
    </xf>
    <xf numFmtId="169" fontId="5" fillId="9" borderId="11" xfId="0" applyNumberFormat="1" applyFont="1" applyFill="1" applyBorder="1" applyAlignment="1" applyProtection="1">
      <alignment/>
      <protection/>
    </xf>
    <xf numFmtId="0" fontId="0" fillId="9" borderId="11" xfId="0" applyFill="1" applyBorder="1" applyAlignment="1" applyProtection="1">
      <alignment horizontal="left"/>
      <protection/>
    </xf>
    <xf numFmtId="43" fontId="1" fillId="19" borderId="11" xfId="46" applyFont="1" applyFill="1" applyBorder="1" applyAlignment="1" applyProtection="1">
      <alignment/>
      <protection/>
    </xf>
    <xf numFmtId="0" fontId="1" fillId="9" borderId="11" xfId="0" applyFont="1" applyFill="1" applyBorder="1" applyAlignment="1" applyProtection="1">
      <alignment horizontal="left"/>
      <protection/>
    </xf>
    <xf numFmtId="43" fontId="5" fillId="19" borderId="11" xfId="46" applyFont="1" applyFill="1" applyBorder="1" applyAlignment="1" applyProtection="1">
      <alignment horizontal="center"/>
      <protection/>
    </xf>
    <xf numFmtId="177" fontId="0" fillId="9" borderId="0" xfId="0" applyNumberFormat="1" applyFont="1" applyFill="1" applyAlignment="1" applyProtection="1">
      <alignment horizontal="center"/>
      <protection/>
    </xf>
    <xf numFmtId="0" fontId="1" fillId="20" borderId="17" xfId="0" applyFont="1" applyFill="1" applyBorder="1" applyAlignment="1" applyProtection="1">
      <alignment/>
      <protection/>
    </xf>
    <xf numFmtId="43" fontId="0" fillId="20" borderId="18" xfId="46" applyFill="1" applyBorder="1" applyAlignment="1" applyProtection="1">
      <alignment/>
      <protection/>
    </xf>
    <xf numFmtId="41" fontId="0" fillId="20" borderId="19" xfId="0" applyNumberFormat="1" applyFill="1" applyBorder="1" applyAlignment="1" applyProtection="1">
      <alignment/>
      <protection/>
    </xf>
    <xf numFmtId="175" fontId="0" fillId="20" borderId="11" xfId="46" applyNumberFormat="1" applyFill="1" applyBorder="1" applyAlignment="1" applyProtection="1">
      <alignment/>
      <protection/>
    </xf>
    <xf numFmtId="43" fontId="0" fillId="20" borderId="11" xfId="46" applyFill="1" applyBorder="1" applyAlignment="1" applyProtection="1">
      <alignment/>
      <protection/>
    </xf>
    <xf numFmtId="41" fontId="0" fillId="20" borderId="11" xfId="0" applyNumberFormat="1" applyFill="1" applyBorder="1" applyAlignment="1" applyProtection="1">
      <alignment/>
      <protection/>
    </xf>
    <xf numFmtId="0" fontId="1" fillId="19" borderId="17" xfId="0" applyFont="1" applyFill="1" applyBorder="1" applyAlignment="1" applyProtection="1">
      <alignment/>
      <protection/>
    </xf>
    <xf numFmtId="169" fontId="1" fillId="19" borderId="11" xfId="47" applyNumberFormat="1" applyFont="1" applyFill="1" applyBorder="1" applyAlignment="1" applyProtection="1">
      <alignment/>
      <protection/>
    </xf>
    <xf numFmtId="0" fontId="0" fillId="20" borderId="11" xfId="46" applyNumberFormat="1" applyFill="1" applyBorder="1" applyAlignment="1" applyProtection="1">
      <alignment/>
      <protection/>
    </xf>
    <xf numFmtId="0" fontId="0" fillId="20" borderId="19" xfId="46" applyNumberFormat="1" applyFill="1" applyBorder="1" applyAlignment="1" applyProtection="1">
      <alignment/>
      <protection/>
    </xf>
    <xf numFmtId="43" fontId="0" fillId="20" borderId="0" xfId="46" applyFill="1" applyAlignment="1" applyProtection="1">
      <alignment/>
      <protection/>
    </xf>
    <xf numFmtId="43" fontId="0" fillId="20" borderId="11" xfId="46" applyNumberFormat="1" applyFill="1" applyBorder="1" applyAlignment="1" applyProtection="1">
      <alignment/>
      <protection/>
    </xf>
    <xf numFmtId="0" fontId="34" fillId="19" borderId="21" xfId="0" applyFont="1" applyFill="1" applyBorder="1" applyAlignment="1" applyProtection="1">
      <alignment/>
      <protection/>
    </xf>
    <xf numFmtId="169" fontId="5" fillId="19" borderId="21" xfId="0" applyNumberFormat="1" applyFont="1" applyFill="1" applyBorder="1" applyAlignment="1" applyProtection="1">
      <alignment horizontal="center"/>
      <protection/>
    </xf>
    <xf numFmtId="169" fontId="5" fillId="19" borderId="22" xfId="0" applyNumberFormat="1" applyFont="1" applyFill="1" applyBorder="1" applyAlignment="1" applyProtection="1">
      <alignment/>
      <protection/>
    </xf>
    <xf numFmtId="0" fontId="34" fillId="19" borderId="0" xfId="0" applyFont="1" applyFill="1" applyBorder="1" applyAlignment="1" applyProtection="1">
      <alignment/>
      <protection/>
    </xf>
    <xf numFmtId="0" fontId="0" fillId="19" borderId="0" xfId="0" applyFill="1" applyBorder="1" applyAlignment="1" applyProtection="1">
      <alignment horizontal="center"/>
      <protection/>
    </xf>
    <xf numFmtId="0" fontId="0" fillId="19" borderId="23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34" fillId="19" borderId="0" xfId="0" applyFont="1" applyFill="1" applyBorder="1" applyAlignment="1" applyProtection="1">
      <alignment horizontal="center"/>
      <protection locked="0"/>
    </xf>
    <xf numFmtId="0" fontId="0" fillId="20" borderId="24" xfId="0" applyFill="1" applyBorder="1" applyAlignment="1" applyProtection="1">
      <alignment/>
      <protection/>
    </xf>
    <xf numFmtId="0" fontId="0" fillId="20" borderId="24" xfId="46" applyNumberFormat="1" applyFont="1" applyFill="1" applyBorder="1" applyAlignment="1" applyProtection="1">
      <alignment horizontal="center"/>
      <protection/>
    </xf>
    <xf numFmtId="43" fontId="0" fillId="20" borderId="0" xfId="46" applyFont="1" applyFill="1" applyAlignment="1" applyProtection="1">
      <alignment horizontal="center"/>
      <protection/>
    </xf>
    <xf numFmtId="0" fontId="2" fillId="19" borderId="19" xfId="0" applyFont="1" applyFill="1" applyBorder="1" applyAlignment="1" applyProtection="1">
      <alignment/>
      <protection/>
    </xf>
    <xf numFmtId="169" fontId="5" fillId="19" borderId="11" xfId="47" applyNumberFormat="1" applyFont="1" applyFill="1" applyBorder="1" applyAlignment="1" applyProtection="1">
      <alignment/>
      <protection/>
    </xf>
    <xf numFmtId="0" fontId="0" fillId="19" borderId="25" xfId="0" applyFont="1" applyFill="1" applyBorder="1" applyAlignment="1" applyProtection="1">
      <alignment/>
      <protection/>
    </xf>
    <xf numFmtId="0" fontId="0" fillId="19" borderId="26" xfId="0" applyFill="1" applyBorder="1" applyAlignment="1" applyProtection="1">
      <alignment horizontal="center"/>
      <protection/>
    </xf>
    <xf numFmtId="10" fontId="0" fillId="7" borderId="27" xfId="46" applyNumberFormat="1" applyFill="1" applyBorder="1" applyAlignment="1" applyProtection="1">
      <alignment horizontal="center"/>
      <protection locked="0"/>
    </xf>
    <xf numFmtId="0" fontId="1" fillId="19" borderId="28" xfId="0" applyFont="1" applyFill="1" applyBorder="1" applyAlignment="1" applyProtection="1">
      <alignment/>
      <protection/>
    </xf>
    <xf numFmtId="0" fontId="0" fillId="19" borderId="21" xfId="0" applyFill="1" applyBorder="1" applyAlignment="1" applyProtection="1">
      <alignment horizontal="center"/>
      <protection/>
    </xf>
    <xf numFmtId="0" fontId="0" fillId="19" borderId="22" xfId="0" applyFill="1" applyBorder="1" applyAlignment="1" applyProtection="1">
      <alignment/>
      <protection/>
    </xf>
    <xf numFmtId="0" fontId="0" fillId="20" borderId="0" xfId="0" applyFill="1" applyAlignment="1" applyProtection="1">
      <alignment horizontal="center"/>
      <protection/>
    </xf>
    <xf numFmtId="0" fontId="1" fillId="19" borderId="29" xfId="0" applyFont="1" applyFill="1" applyBorder="1" applyAlignment="1" applyProtection="1">
      <alignment/>
      <protection/>
    </xf>
    <xf numFmtId="0" fontId="0" fillId="19" borderId="29" xfId="0" applyFill="1" applyBorder="1" applyAlignment="1" applyProtection="1">
      <alignment/>
      <protection/>
    </xf>
    <xf numFmtId="0" fontId="0" fillId="19" borderId="17" xfId="0" applyFill="1" applyBorder="1" applyAlignment="1" applyProtection="1">
      <alignment/>
      <protection/>
    </xf>
    <xf numFmtId="0" fontId="0" fillId="19" borderId="19" xfId="0" applyFill="1" applyBorder="1" applyAlignment="1" applyProtection="1">
      <alignment/>
      <protection/>
    </xf>
    <xf numFmtId="43" fontId="0" fillId="19" borderId="11" xfId="46" applyFont="1" applyFill="1" applyBorder="1" applyAlignment="1" applyProtection="1">
      <alignment/>
      <protection/>
    </xf>
    <xf numFmtId="0" fontId="0" fillId="19" borderId="0" xfId="0" applyFill="1" applyBorder="1" applyAlignment="1" applyProtection="1">
      <alignment horizontal="center"/>
      <protection locked="0"/>
    </xf>
    <xf numFmtId="0" fontId="0" fillId="19" borderId="23" xfId="0" applyFill="1" applyBorder="1" applyAlignment="1" applyProtection="1">
      <alignment horizontal="center"/>
      <protection/>
    </xf>
    <xf numFmtId="0" fontId="1" fillId="19" borderId="19" xfId="0" applyFont="1" applyFill="1" applyBorder="1" applyAlignment="1" applyProtection="1">
      <alignment/>
      <protection/>
    </xf>
    <xf numFmtId="0" fontId="0" fillId="7" borderId="30" xfId="46" applyNumberFormat="1" applyFill="1" applyBorder="1" applyAlignment="1" applyProtection="1">
      <alignment horizontal="center"/>
      <protection locked="0"/>
    </xf>
    <xf numFmtId="0" fontId="0" fillId="20" borderId="18" xfId="46" applyNumberFormat="1" applyFill="1" applyBorder="1" applyAlignment="1" applyProtection="1">
      <alignment/>
      <protection/>
    </xf>
    <xf numFmtId="0" fontId="0" fillId="20" borderId="19" xfId="0" applyNumberFormat="1" applyFill="1" applyBorder="1" applyAlignment="1" applyProtection="1">
      <alignment/>
      <protection/>
    </xf>
    <xf numFmtId="0" fontId="0" fillId="19" borderId="23" xfId="0" applyNumberFormat="1" applyFill="1" applyBorder="1" applyAlignment="1" applyProtection="1">
      <alignment/>
      <protection/>
    </xf>
    <xf numFmtId="43" fontId="0" fillId="20" borderId="11" xfId="46" applyFont="1" applyFill="1" applyBorder="1" applyAlignment="1" applyProtection="1">
      <alignment/>
      <protection/>
    </xf>
    <xf numFmtId="0" fontId="0" fillId="20" borderId="31" xfId="0" applyFill="1" applyBorder="1" applyAlignment="1" applyProtection="1">
      <alignment/>
      <protection/>
    </xf>
    <xf numFmtId="0" fontId="0" fillId="20" borderId="32" xfId="0" applyFill="1" applyBorder="1" applyAlignment="1" applyProtection="1">
      <alignment/>
      <protection/>
    </xf>
    <xf numFmtId="0" fontId="0" fillId="19" borderId="33" xfId="0" applyFill="1" applyBorder="1" applyAlignment="1" applyProtection="1">
      <alignment/>
      <protection/>
    </xf>
    <xf numFmtId="0" fontId="0" fillId="19" borderId="34" xfId="0" applyFill="1" applyBorder="1" applyAlignment="1" applyProtection="1">
      <alignment horizontal="center"/>
      <protection/>
    </xf>
    <xf numFmtId="0" fontId="0" fillId="19" borderId="35" xfId="0" applyFill="1" applyBorder="1" applyAlignment="1" applyProtection="1">
      <alignment/>
      <protection/>
    </xf>
    <xf numFmtId="174" fontId="0" fillId="20" borderId="11" xfId="46" applyNumberFormat="1" applyFill="1" applyBorder="1" applyAlignment="1" applyProtection="1">
      <alignment/>
      <protection/>
    </xf>
    <xf numFmtId="0" fontId="1" fillId="20" borderId="19" xfId="0" applyFont="1" applyFill="1" applyBorder="1" applyAlignment="1" applyProtection="1">
      <alignment/>
      <protection/>
    </xf>
    <xf numFmtId="43" fontId="0" fillId="19" borderId="11" xfId="46" applyFill="1" applyBorder="1" applyAlignment="1" applyProtection="1">
      <alignment/>
      <protection/>
    </xf>
    <xf numFmtId="169" fontId="0" fillId="20" borderId="11" xfId="0" applyNumberFormat="1" applyFill="1" applyBorder="1" applyAlignment="1" applyProtection="1">
      <alignment/>
      <protection/>
    </xf>
    <xf numFmtId="43" fontId="1" fillId="20" borderId="11" xfId="46" applyFont="1" applyFill="1" applyBorder="1" applyAlignment="1">
      <alignment/>
    </xf>
    <xf numFmtId="43" fontId="0" fillId="20" borderId="11" xfId="46" applyFont="1" applyFill="1" applyBorder="1" applyAlignment="1" applyProtection="1">
      <alignment/>
      <protection/>
    </xf>
    <xf numFmtId="10" fontId="0" fillId="20" borderId="19" xfId="0" applyNumberFormat="1" applyFill="1" applyBorder="1" applyAlignment="1" applyProtection="1">
      <alignment/>
      <protection/>
    </xf>
    <xf numFmtId="0" fontId="5" fillId="20" borderId="17" xfId="0" applyFont="1" applyFill="1" applyBorder="1" applyAlignment="1" applyProtection="1">
      <alignment/>
      <protection/>
    </xf>
    <xf numFmtId="0" fontId="5" fillId="20" borderId="19" xfId="0" applyFont="1" applyFill="1" applyBorder="1" applyAlignment="1" applyProtection="1">
      <alignment/>
      <protection/>
    </xf>
    <xf numFmtId="43" fontId="0" fillId="20" borderId="0" xfId="0" applyNumberFormat="1" applyFill="1" applyAlignment="1" applyProtection="1">
      <alignment/>
      <protection/>
    </xf>
    <xf numFmtId="0" fontId="0" fillId="20" borderId="0" xfId="0" applyFill="1" applyBorder="1" applyAlignment="1" applyProtection="1">
      <alignment/>
      <protection/>
    </xf>
    <xf numFmtId="169" fontId="0" fillId="20" borderId="0" xfId="47" applyNumberFormat="1" applyFill="1" applyBorder="1" applyAlignment="1" applyProtection="1">
      <alignment/>
      <protection/>
    </xf>
    <xf numFmtId="0" fontId="0" fillId="20" borderId="11" xfId="0" applyNumberFormat="1" applyFill="1" applyBorder="1" applyAlignment="1" applyProtection="1">
      <alignment horizontal="center"/>
      <protection/>
    </xf>
    <xf numFmtId="2" fontId="0" fillId="20" borderId="0" xfId="0" applyNumberFormat="1" applyFill="1" applyBorder="1" applyAlignment="1" applyProtection="1">
      <alignment/>
      <protection/>
    </xf>
    <xf numFmtId="43" fontId="0" fillId="20" borderId="19" xfId="46" applyFill="1" applyBorder="1" applyAlignment="1" applyProtection="1">
      <alignment/>
      <protection/>
    </xf>
    <xf numFmtId="43" fontId="0" fillId="20" borderId="11" xfId="0" applyNumberFormat="1" applyFill="1" applyBorder="1" applyAlignment="1" applyProtection="1">
      <alignment/>
      <protection/>
    </xf>
    <xf numFmtId="169" fontId="5" fillId="9" borderId="0" xfId="0" applyNumberFormat="1" applyFont="1" applyFill="1" applyAlignment="1" applyProtection="1">
      <alignment horizontal="center"/>
      <protection locked="0"/>
    </xf>
    <xf numFmtId="0" fontId="5" fillId="9" borderId="0" xfId="0" applyFont="1" applyFill="1" applyAlignment="1" applyProtection="1">
      <alignment horizontal="left"/>
      <protection/>
    </xf>
    <xf numFmtId="4" fontId="1" fillId="19" borderId="0" xfId="0" applyNumberFormat="1" applyFont="1" applyFill="1" applyAlignment="1" applyProtection="1">
      <alignment/>
      <protection/>
    </xf>
    <xf numFmtId="43" fontId="1" fillId="19" borderId="0" xfId="0" applyNumberFormat="1" applyFont="1" applyFill="1" applyAlignment="1" applyProtection="1">
      <alignment/>
      <protection/>
    </xf>
    <xf numFmtId="0" fontId="12" fillId="19" borderId="0" xfId="0" applyFont="1" applyFill="1" applyAlignment="1" applyProtection="1">
      <alignment/>
      <protection/>
    </xf>
    <xf numFmtId="178" fontId="0" fillId="19" borderId="11" xfId="0" applyNumberFormat="1" applyFont="1" applyFill="1" applyBorder="1" applyAlignment="1" applyProtection="1">
      <alignment horizontal="center"/>
      <protection/>
    </xf>
    <xf numFmtId="178" fontId="0" fillId="19" borderId="11" xfId="0" applyNumberFormat="1" applyFont="1" applyFill="1" applyBorder="1" applyAlignment="1" applyProtection="1">
      <alignment/>
      <protection/>
    </xf>
    <xf numFmtId="0" fontId="0" fillId="19" borderId="18" xfId="0" applyFill="1" applyBorder="1" applyAlignment="1" applyProtection="1">
      <alignment horizontal="center"/>
      <protection/>
    </xf>
    <xf numFmtId="171" fontId="1" fillId="7" borderId="11" xfId="0" applyNumberFormat="1" applyFont="1" applyFill="1" applyBorder="1" applyAlignment="1" applyProtection="1">
      <alignment horizontal="center"/>
      <protection locked="0"/>
    </xf>
    <xf numFmtId="0" fontId="0" fillId="20" borderId="14" xfId="0" applyFill="1" applyBorder="1" applyAlignment="1" applyProtection="1">
      <alignment/>
      <protection/>
    </xf>
    <xf numFmtId="0" fontId="0" fillId="20" borderId="20" xfId="0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0" fontId="0" fillId="19" borderId="18" xfId="0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0" fillId="2" borderId="19" xfId="0" applyFont="1" applyFill="1" applyBorder="1" applyAlignment="1" applyProtection="1">
      <alignment/>
      <protection/>
    </xf>
    <xf numFmtId="0" fontId="0" fillId="20" borderId="15" xfId="0" applyFill="1" applyBorder="1" applyAlignment="1" applyProtection="1">
      <alignment/>
      <protection/>
    </xf>
    <xf numFmtId="0" fontId="0" fillId="20" borderId="20" xfId="0" applyFont="1" applyFill="1" applyBorder="1" applyAlignment="1" applyProtection="1">
      <alignment/>
      <protection/>
    </xf>
    <xf numFmtId="43" fontId="0" fillId="20" borderId="14" xfId="46" applyFont="1" applyFill="1" applyBorder="1" applyAlignment="1" applyProtection="1">
      <alignment/>
      <protection/>
    </xf>
    <xf numFmtId="43" fontId="0" fillId="20" borderId="20" xfId="46" applyFont="1" applyFill="1" applyBorder="1" applyAlignment="1" applyProtection="1">
      <alignment/>
      <protection/>
    </xf>
    <xf numFmtId="43" fontId="0" fillId="20" borderId="15" xfId="46" applyFont="1" applyFill="1" applyBorder="1" applyAlignment="1" applyProtection="1">
      <alignment/>
      <protection/>
    </xf>
    <xf numFmtId="0" fontId="1" fillId="2" borderId="17" xfId="0" applyFont="1" applyFill="1" applyBorder="1" applyAlignment="1" applyProtection="1">
      <alignment/>
      <protection/>
    </xf>
    <xf numFmtId="171" fontId="1" fillId="2" borderId="11" xfId="0" applyNumberFormat="1" applyFont="1" applyFill="1" applyBorder="1" applyAlignment="1" applyProtection="1">
      <alignment horizontal="center"/>
      <protection/>
    </xf>
    <xf numFmtId="0" fontId="0" fillId="7" borderId="11" xfId="0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/>
      <protection locked="0"/>
    </xf>
    <xf numFmtId="172" fontId="0" fillId="19" borderId="11" xfId="44" applyFont="1" applyFill="1" applyBorder="1" applyAlignment="1" applyProtection="1">
      <alignment horizontal="center"/>
      <protection/>
    </xf>
    <xf numFmtId="175" fontId="0" fillId="19" borderId="11" xfId="46" applyNumberFormat="1" applyFont="1" applyFill="1" applyBorder="1" applyAlignment="1" applyProtection="1">
      <alignment horizontal="center"/>
      <protection/>
    </xf>
    <xf numFmtId="0" fontId="37" fillId="19" borderId="0" xfId="0" applyFont="1" applyFill="1" applyAlignment="1">
      <alignment horizontal="center"/>
    </xf>
    <xf numFmtId="0" fontId="38" fillId="19" borderId="0" xfId="0" applyFont="1" applyFill="1" applyAlignment="1">
      <alignment/>
    </xf>
    <xf numFmtId="181" fontId="0" fillId="20" borderId="20" xfId="47" applyNumberFormat="1" applyFill="1" applyBorder="1" applyAlignment="1" applyProtection="1">
      <alignment/>
      <protection/>
    </xf>
    <xf numFmtId="181" fontId="0" fillId="20" borderId="15" xfId="47" applyNumberFormat="1" applyFill="1" applyBorder="1" applyAlignment="1" applyProtection="1">
      <alignment/>
      <protection/>
    </xf>
    <xf numFmtId="174" fontId="0" fillId="0" borderId="0" xfId="46" applyNumberFormat="1" applyFont="1" applyAlignment="1" applyProtection="1">
      <alignment/>
      <protection/>
    </xf>
    <xf numFmtId="0" fontId="5" fillId="19" borderId="11" xfId="0" applyFont="1" applyFill="1" applyBorder="1" applyAlignment="1" applyProtection="1">
      <alignment/>
      <protection/>
    </xf>
    <xf numFmtId="167" fontId="0" fillId="20" borderId="14" xfId="0" applyNumberFormat="1" applyFill="1" applyBorder="1" applyAlignment="1" applyProtection="1">
      <alignment/>
      <protection/>
    </xf>
    <xf numFmtId="167" fontId="0" fillId="20" borderId="20" xfId="0" applyNumberForma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177" fontId="5" fillId="19" borderId="0" xfId="47" applyNumberFormat="1" applyFont="1" applyFill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1" fillId="2" borderId="16" xfId="0" applyFont="1" applyFill="1" applyBorder="1" applyAlignment="1" applyProtection="1">
      <alignment/>
      <protection/>
    </xf>
    <xf numFmtId="0" fontId="0" fillId="2" borderId="36" xfId="0" applyFill="1" applyBorder="1" applyAlignment="1" applyProtection="1">
      <alignment horizontal="center"/>
      <protection/>
    </xf>
    <xf numFmtId="0" fontId="0" fillId="2" borderId="36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1" fillId="2" borderId="31" xfId="0" applyFont="1" applyFill="1" applyBorder="1" applyAlignment="1" applyProtection="1">
      <alignment/>
      <protection/>
    </xf>
    <xf numFmtId="0" fontId="0" fillId="2" borderId="32" xfId="0" applyFill="1" applyBorder="1" applyAlignment="1" applyProtection="1">
      <alignment/>
      <protection/>
    </xf>
    <xf numFmtId="0" fontId="40" fillId="19" borderId="0" xfId="0" applyFont="1" applyFill="1" applyAlignment="1" applyProtection="1">
      <alignment/>
      <protection/>
    </xf>
    <xf numFmtId="0" fontId="1" fillId="20" borderId="11" xfId="0" applyFont="1" applyFill="1" applyBorder="1" applyAlignment="1">
      <alignment horizontal="center"/>
    </xf>
    <xf numFmtId="1" fontId="0" fillId="20" borderId="11" xfId="0" applyNumberFormat="1" applyFill="1" applyBorder="1" applyAlignment="1" applyProtection="1">
      <alignment horizontal="center"/>
      <protection/>
    </xf>
    <xf numFmtId="1" fontId="0" fillId="21" borderId="11" xfId="0" applyNumberFormat="1" applyFill="1" applyBorder="1" applyAlignment="1" applyProtection="1">
      <alignment/>
      <protection locked="0"/>
    </xf>
    <xf numFmtId="0" fontId="14" fillId="19" borderId="0" xfId="0" applyFont="1" applyFill="1" applyAlignment="1">
      <alignment horizontal="center"/>
    </xf>
    <xf numFmtId="177" fontId="0" fillId="19" borderId="0" xfId="0" applyNumberFormat="1" applyFill="1" applyAlignment="1" applyProtection="1">
      <alignment/>
      <protection/>
    </xf>
    <xf numFmtId="0" fontId="13" fillId="18" borderId="0" xfId="0" applyFont="1" applyFill="1" applyAlignment="1" applyProtection="1">
      <alignment horizontal="center"/>
      <protection/>
    </xf>
    <xf numFmtId="0" fontId="41" fillId="18" borderId="0" xfId="0" applyFont="1" applyFill="1" applyAlignment="1" applyProtection="1">
      <alignment horizontal="center"/>
      <protection/>
    </xf>
    <xf numFmtId="0" fontId="0" fillId="10" borderId="0" xfId="0" applyFill="1" applyAlignment="1">
      <alignment/>
    </xf>
    <xf numFmtId="0" fontId="39" fillId="19" borderId="0" xfId="0" applyFont="1" applyFill="1" applyAlignment="1">
      <alignment/>
    </xf>
    <xf numFmtId="1" fontId="12" fillId="19" borderId="11" xfId="0" applyNumberFormat="1" applyFont="1" applyFill="1" applyBorder="1" applyAlignment="1" applyProtection="1">
      <alignment horizontal="left"/>
      <protection/>
    </xf>
    <xf numFmtId="0" fontId="42" fillId="18" borderId="0" xfId="0" applyFont="1" applyFill="1" applyAlignment="1" applyProtection="1">
      <alignment horizontal="left"/>
      <protection/>
    </xf>
    <xf numFmtId="0" fontId="43" fillId="18" borderId="0" xfId="0" applyFont="1" applyFill="1" applyAlignment="1">
      <alignment/>
    </xf>
    <xf numFmtId="0" fontId="0" fillId="20" borderId="0" xfId="0" applyFill="1" applyAlignment="1">
      <alignment/>
    </xf>
    <xf numFmtId="0" fontId="44" fillId="18" borderId="0" xfId="0" applyFont="1" applyFill="1" applyAlignment="1" applyProtection="1">
      <alignment horizontal="left"/>
      <protection/>
    </xf>
    <xf numFmtId="0" fontId="43" fillId="0" borderId="0" xfId="0" applyFont="1" applyAlignment="1">
      <alignment/>
    </xf>
    <xf numFmtId="0" fontId="15" fillId="18" borderId="0" xfId="0" applyFont="1" applyFill="1" applyAlignment="1">
      <alignment/>
    </xf>
    <xf numFmtId="0" fontId="12" fillId="19" borderId="0" xfId="0" applyFont="1" applyFill="1" applyAlignment="1" applyProtection="1">
      <alignment horizontal="left"/>
      <protection/>
    </xf>
    <xf numFmtId="0" fontId="15" fillId="19" borderId="0" xfId="0" applyFont="1" applyFill="1" applyAlignment="1">
      <alignment/>
    </xf>
    <xf numFmtId="187" fontId="0" fillId="7" borderId="11" xfId="0" applyNumberFormat="1" applyFill="1" applyBorder="1" applyAlignment="1" applyProtection="1">
      <alignment/>
      <protection locked="0"/>
    </xf>
    <xf numFmtId="0" fontId="1" fillId="20" borderId="18" xfId="0" applyFont="1" applyFill="1" applyBorder="1" applyAlignment="1">
      <alignment/>
    </xf>
    <xf numFmtId="172" fontId="0" fillId="19" borderId="11" xfId="44" applyFill="1" applyBorder="1" applyAlignment="1">
      <alignment/>
    </xf>
    <xf numFmtId="44" fontId="0" fillId="7" borderId="11" xfId="46" applyNumberFormat="1" applyFill="1" applyBorder="1" applyAlignment="1" applyProtection="1">
      <alignment/>
      <protection locked="0"/>
    </xf>
    <xf numFmtId="0" fontId="1" fillId="20" borderId="18" xfId="0" applyFont="1" applyFill="1" applyBorder="1" applyAlignment="1">
      <alignment horizontal="center"/>
    </xf>
    <xf numFmtId="43" fontId="0" fillId="20" borderId="0" xfId="46" applyFill="1" applyAlignment="1">
      <alignment/>
    </xf>
    <xf numFmtId="1" fontId="0" fillId="19" borderId="17" xfId="0" applyNumberFormat="1" applyFill="1" applyBorder="1" applyAlignment="1">
      <alignment horizontal="center"/>
    </xf>
    <xf numFmtId="0" fontId="0" fillId="19" borderId="19" xfId="0" applyFill="1" applyBorder="1" applyAlignment="1">
      <alignment/>
    </xf>
    <xf numFmtId="0" fontId="0" fillId="19" borderId="17" xfId="0" applyFill="1" applyBorder="1" applyAlignment="1">
      <alignment/>
    </xf>
    <xf numFmtId="0" fontId="1" fillId="9" borderId="14" xfId="0" applyFont="1" applyFill="1" applyBorder="1" applyAlignment="1" applyProtection="1">
      <alignment horizontal="center"/>
      <protection/>
    </xf>
    <xf numFmtId="0" fontId="1" fillId="9" borderId="31" xfId="0" applyFont="1" applyFill="1" applyBorder="1" applyAlignment="1" applyProtection="1">
      <alignment horizontal="center"/>
      <protection/>
    </xf>
    <xf numFmtId="0" fontId="1" fillId="9" borderId="20" xfId="0" applyFont="1" applyFill="1" applyBorder="1" applyAlignment="1" applyProtection="1">
      <alignment horizontal="center"/>
      <protection/>
    </xf>
    <xf numFmtId="0" fontId="1" fillId="9" borderId="13" xfId="0" applyFont="1" applyFill="1" applyBorder="1" applyAlignment="1" applyProtection="1">
      <alignment horizontal="left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9" borderId="15" xfId="0" applyFont="1" applyFill="1" applyBorder="1" applyAlignment="1" applyProtection="1">
      <alignment horizontal="center"/>
      <protection/>
    </xf>
    <xf numFmtId="0" fontId="1" fillId="9" borderId="16" xfId="0" applyFont="1" applyFill="1" applyBorder="1" applyAlignment="1" applyProtection="1">
      <alignment horizontal="center"/>
      <protection/>
    </xf>
    <xf numFmtId="0" fontId="1" fillId="9" borderId="15" xfId="0" applyFont="1" applyFill="1" applyBorder="1" applyAlignment="1" applyProtection="1">
      <alignment horizontal="left"/>
      <protection/>
    </xf>
    <xf numFmtId="1" fontId="5" fillId="20" borderId="11" xfId="0" applyNumberFormat="1" applyFont="1" applyFill="1" applyBorder="1" applyAlignment="1" applyProtection="1">
      <alignment horizontal="left"/>
      <protection/>
    </xf>
    <xf numFmtId="43" fontId="3" fillId="20" borderId="0" xfId="0" applyNumberFormat="1" applyFont="1" applyFill="1" applyAlignment="1">
      <alignment/>
    </xf>
    <xf numFmtId="0" fontId="0" fillId="22" borderId="11" xfId="0" applyFill="1" applyBorder="1" applyAlignment="1">
      <alignment/>
    </xf>
    <xf numFmtId="43" fontId="0" fillId="7" borderId="11" xfId="46" applyFill="1" applyBorder="1" applyAlignment="1" applyProtection="1">
      <alignment/>
      <protection locked="0"/>
    </xf>
    <xf numFmtId="43" fontId="0" fillId="19" borderId="11" xfId="46" applyFill="1" applyBorder="1" applyAlignment="1">
      <alignment/>
    </xf>
    <xf numFmtId="0" fontId="0" fillId="20" borderId="0" xfId="0" applyFill="1" applyAlignment="1" applyProtection="1">
      <alignment/>
      <protection locked="0"/>
    </xf>
    <xf numFmtId="0" fontId="0" fillId="19" borderId="18" xfId="0" applyFill="1" applyBorder="1" applyAlignment="1">
      <alignment/>
    </xf>
    <xf numFmtId="0" fontId="0" fillId="19" borderId="11" xfId="0" applyFill="1" applyBorder="1" applyAlignment="1">
      <alignment horizontal="center"/>
    </xf>
    <xf numFmtId="43" fontId="0" fillId="19" borderId="11" xfId="0" applyNumberFormat="1" applyFill="1" applyBorder="1" applyAlignment="1">
      <alignment/>
    </xf>
    <xf numFmtId="43" fontId="5" fillId="19" borderId="11" xfId="46" applyFont="1" applyFill="1" applyBorder="1" applyAlignment="1">
      <alignment/>
    </xf>
    <xf numFmtId="1" fontId="1" fillId="20" borderId="11" xfId="0" applyNumberFormat="1" applyFont="1" applyFill="1" applyBorder="1" applyAlignment="1" applyProtection="1">
      <alignment horizontal="center"/>
      <protection/>
    </xf>
    <xf numFmtId="0" fontId="1" fillId="20" borderId="0" xfId="0" applyFont="1" applyFill="1" applyBorder="1" applyAlignment="1">
      <alignment horizontal="center"/>
    </xf>
    <xf numFmtId="0" fontId="5" fillId="9" borderId="10" xfId="0" applyFont="1" applyFill="1" applyBorder="1" applyAlignment="1" applyProtection="1">
      <alignment horizontal="center"/>
      <protection/>
    </xf>
    <xf numFmtId="0" fontId="5" fillId="9" borderId="15" xfId="0" applyFont="1" applyFill="1" applyBorder="1" applyAlignment="1" applyProtection="1">
      <alignment horizontal="center"/>
      <protection/>
    </xf>
    <xf numFmtId="43" fontId="0" fillId="20" borderId="0" xfId="46" applyFill="1" applyBorder="1" applyAlignment="1" applyProtection="1">
      <alignment/>
      <protection/>
    </xf>
    <xf numFmtId="43" fontId="0" fillId="19" borderId="0" xfId="46" applyFill="1" applyBorder="1" applyAlignment="1" applyProtection="1">
      <alignment/>
      <protection/>
    </xf>
    <xf numFmtId="43" fontId="0" fillId="19" borderId="11" xfId="46" applyFont="1" applyFill="1" applyBorder="1" applyAlignment="1">
      <alignment/>
    </xf>
    <xf numFmtId="0" fontId="1" fillId="19" borderId="17" xfId="0" applyFont="1" applyFill="1" applyBorder="1" applyAlignment="1">
      <alignment/>
    </xf>
    <xf numFmtId="1" fontId="12" fillId="20" borderId="11" xfId="0" applyNumberFormat="1" applyFont="1" applyFill="1" applyBorder="1" applyAlignment="1" applyProtection="1">
      <alignment horizontal="left"/>
      <protection/>
    </xf>
    <xf numFmtId="0" fontId="47" fillId="18" borderId="17" xfId="0" applyFont="1" applyFill="1" applyBorder="1" applyAlignment="1">
      <alignment/>
    </xf>
    <xf numFmtId="0" fontId="48" fillId="18" borderId="18" xfId="0" applyFont="1" applyFill="1" applyBorder="1" applyAlignment="1">
      <alignment/>
    </xf>
    <xf numFmtId="0" fontId="48" fillId="18" borderId="19" xfId="0" applyFont="1" applyFill="1" applyBorder="1" applyAlignment="1">
      <alignment/>
    </xf>
    <xf numFmtId="0" fontId="14" fillId="19" borderId="0" xfId="0" applyFont="1" applyFill="1" applyAlignment="1">
      <alignment horizontal="left"/>
    </xf>
    <xf numFmtId="0" fontId="5" fillId="7" borderId="11" xfId="0" applyFont="1" applyFill="1" applyBorder="1" applyAlignment="1" applyProtection="1">
      <alignment/>
      <protection locked="0"/>
    </xf>
    <xf numFmtId="43" fontId="3" fillId="20" borderId="0" xfId="0" applyNumberFormat="1" applyFont="1" applyFill="1" applyAlignment="1" applyProtection="1">
      <alignment/>
      <protection/>
    </xf>
    <xf numFmtId="189" fontId="0" fillId="19" borderId="11" xfId="44" applyNumberFormat="1" applyFont="1" applyFill="1" applyBorder="1" applyAlignment="1" applyProtection="1">
      <alignment horizontal="center"/>
      <protection/>
    </xf>
    <xf numFmtId="0" fontId="1" fillId="19" borderId="0" xfId="0" applyFont="1" applyFill="1" applyAlignment="1">
      <alignment horizontal="right"/>
    </xf>
    <xf numFmtId="43" fontId="3" fillId="20" borderId="0" xfId="0" applyNumberFormat="1" applyFont="1" applyFill="1" applyAlignment="1" applyProtection="1">
      <alignment/>
      <protection locked="0"/>
    </xf>
    <xf numFmtId="1" fontId="0" fillId="7" borderId="11" xfId="0" applyNumberFormat="1" applyFill="1" applyBorder="1" applyAlignment="1" applyProtection="1">
      <alignment horizontal="center"/>
      <protection locked="0"/>
    </xf>
    <xf numFmtId="175" fontId="3" fillId="20" borderId="0" xfId="0" applyNumberFormat="1" applyFont="1" applyFill="1" applyAlignment="1" applyProtection="1">
      <alignment/>
      <protection locked="0"/>
    </xf>
    <xf numFmtId="0" fontId="12" fillId="23" borderId="0" xfId="0" applyFont="1" applyFill="1" applyAlignment="1" applyProtection="1">
      <alignment horizontal="left"/>
      <protection/>
    </xf>
    <xf numFmtId="0" fontId="0" fillId="23" borderId="0" xfId="0" applyFill="1" applyAlignment="1">
      <alignment/>
    </xf>
    <xf numFmtId="0" fontId="0" fillId="19" borderId="0" xfId="0" applyFill="1" applyBorder="1" applyAlignment="1" applyProtection="1">
      <alignment/>
      <protection/>
    </xf>
    <xf numFmtId="0" fontId="1" fillId="19" borderId="11" xfId="0" applyFont="1" applyFill="1" applyBorder="1" applyAlignment="1" applyProtection="1">
      <alignment/>
      <protection/>
    </xf>
    <xf numFmtId="3" fontId="1" fillId="19" borderId="11" xfId="0" applyNumberFormat="1" applyFont="1" applyFill="1" applyBorder="1" applyAlignment="1" applyProtection="1">
      <alignment/>
      <protection/>
    </xf>
    <xf numFmtId="3" fontId="40" fillId="19" borderId="0" xfId="0" applyNumberFormat="1" applyFont="1" applyFill="1" applyAlignment="1" applyProtection="1">
      <alignment/>
      <protection/>
    </xf>
    <xf numFmtId="43" fontId="5" fillId="0" borderId="0" xfId="46" applyFont="1" applyAlignment="1" applyProtection="1">
      <alignment/>
      <protection/>
    </xf>
    <xf numFmtId="0" fontId="49" fillId="9" borderId="0" xfId="0" applyFont="1" applyFill="1" applyAlignment="1" applyProtection="1">
      <alignment/>
      <protection/>
    </xf>
    <xf numFmtId="171" fontId="1" fillId="2" borderId="11" xfId="0" applyNumberFormat="1" applyFont="1" applyFill="1" applyBorder="1" applyAlignment="1" applyProtection="1">
      <alignment horizontal="center"/>
      <protection hidden="1"/>
    </xf>
    <xf numFmtId="43" fontId="0" fillId="20" borderId="11" xfId="0" applyNumberFormat="1" applyFill="1" applyBorder="1" applyAlignment="1">
      <alignment/>
    </xf>
    <xf numFmtId="176" fontId="2" fillId="7" borderId="11" xfId="46" applyNumberFormat="1" applyFont="1" applyFill="1" applyBorder="1" applyAlignment="1" applyProtection="1">
      <alignment horizontal="center"/>
      <protection locked="0"/>
    </xf>
    <xf numFmtId="176" fontId="0" fillId="19" borderId="11" xfId="46" applyNumberFormat="1" applyFont="1" applyFill="1" applyBorder="1" applyAlignment="1" applyProtection="1">
      <alignment horizontal="center"/>
      <protection locked="0"/>
    </xf>
    <xf numFmtId="1" fontId="40" fillId="19" borderId="11" xfId="0" applyNumberFormat="1" applyFont="1" applyFill="1" applyBorder="1" applyAlignment="1" applyProtection="1">
      <alignment horizontal="center"/>
      <protection/>
    </xf>
    <xf numFmtId="175" fontId="50" fillId="20" borderId="0" xfId="0" applyNumberFormat="1" applyFont="1" applyFill="1" applyAlignment="1">
      <alignment/>
    </xf>
    <xf numFmtId="175" fontId="50" fillId="20" borderId="0" xfId="0" applyNumberFormat="1" applyFont="1" applyFill="1" applyAlignment="1" applyProtection="1">
      <alignment/>
      <protection/>
    </xf>
    <xf numFmtId="0" fontId="1" fillId="20" borderId="11" xfId="0" applyFont="1" applyFill="1" applyBorder="1" applyAlignment="1" applyProtection="1">
      <alignment/>
      <protection/>
    </xf>
    <xf numFmtId="176" fontId="0" fillId="19" borderId="11" xfId="46" applyNumberFormat="1" applyFont="1" applyFill="1" applyBorder="1" applyAlignment="1" applyProtection="1">
      <alignment horizontal="center"/>
      <protection locked="0"/>
    </xf>
    <xf numFmtId="176" fontId="0" fillId="19" borderId="11" xfId="46" applyNumberFormat="1" applyFont="1" applyFill="1" applyBorder="1" applyAlignment="1" applyProtection="1">
      <alignment horizontal="center"/>
      <protection locked="0"/>
    </xf>
    <xf numFmtId="0" fontId="0" fillId="19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5934075</xdr:colOff>
      <xdr:row>63</xdr:row>
      <xdr:rowOff>114300</xdr:rowOff>
    </xdr:from>
    <xdr:to>
      <xdr:col>2</xdr:col>
      <xdr:colOff>19050</xdr:colOff>
      <xdr:row>66</xdr:row>
      <xdr:rowOff>142875</xdr:rowOff>
    </xdr:to>
    <xdr:pic>
      <xdr:nvPicPr>
        <xdr:cNvPr id="1" name="Picture 1" descr="by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1953875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24</xdr:row>
      <xdr:rowOff>152400</xdr:rowOff>
    </xdr:from>
    <xdr:to>
      <xdr:col>0</xdr:col>
      <xdr:colOff>1924050</xdr:colOff>
      <xdr:row>26</xdr:row>
      <xdr:rowOff>47625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333875"/>
          <a:ext cx="1895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1905000</xdr:colOff>
      <xdr:row>24</xdr:row>
      <xdr:rowOff>152400</xdr:rowOff>
    </xdr:from>
    <xdr:to>
      <xdr:col>1</xdr:col>
      <xdr:colOff>47625</xdr:colOff>
      <xdr:row>26</xdr:row>
      <xdr:rowOff>47625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4333875"/>
          <a:ext cx="1971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3048000</xdr:colOff>
      <xdr:row>31</xdr:row>
      <xdr:rowOff>76200</xdr:rowOff>
    </xdr:from>
    <xdr:to>
      <xdr:col>2</xdr:col>
      <xdr:colOff>752475</xdr:colOff>
      <xdr:row>33</xdr:row>
      <xdr:rowOff>47625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5419725"/>
          <a:ext cx="2419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3048000</xdr:colOff>
      <xdr:row>46</xdr:row>
      <xdr:rowOff>95250</xdr:rowOff>
    </xdr:from>
    <xdr:to>
      <xdr:col>2</xdr:col>
      <xdr:colOff>752475</xdr:colOff>
      <xdr:row>48</xdr:row>
      <xdr:rowOff>66675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7829550"/>
          <a:ext cx="2419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3057525</xdr:colOff>
      <xdr:row>48</xdr:row>
      <xdr:rowOff>9525</xdr:rowOff>
    </xdr:from>
    <xdr:to>
      <xdr:col>2</xdr:col>
      <xdr:colOff>762000</xdr:colOff>
      <xdr:row>49</xdr:row>
      <xdr:rowOff>142875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57525" y="8067675"/>
          <a:ext cx="2419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</xdr:row>
      <xdr:rowOff>38100</xdr:rowOff>
    </xdr:from>
    <xdr:to>
      <xdr:col>6</xdr:col>
      <xdr:colOff>257175</xdr:colOff>
      <xdr:row>5</xdr:row>
      <xdr:rowOff>57150</xdr:rowOff>
    </xdr:to>
    <xdr:pic>
      <xdr:nvPicPr>
        <xdr:cNvPr id="6" name="Toggle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81775" y="60960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L8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.7109375" style="0" customWidth="1"/>
    <col min="2" max="2" width="109.140625" style="0" customWidth="1"/>
    <col min="3" max="3" width="2.8515625" style="0" customWidth="1"/>
  </cols>
  <sheetData>
    <row r="1" spans="1:12" ht="12">
      <c r="A1" s="1"/>
      <c r="B1" s="1"/>
      <c r="C1" s="1"/>
      <c r="D1" s="254"/>
      <c r="E1" s="254"/>
      <c r="F1" s="254"/>
      <c r="G1" s="254"/>
      <c r="H1" s="254"/>
      <c r="I1" s="254"/>
      <c r="J1" s="254"/>
      <c r="K1" s="254"/>
      <c r="L1" s="254"/>
    </row>
    <row r="2" spans="1:12" ht="18">
      <c r="A2" s="1"/>
      <c r="B2" s="224" t="s">
        <v>151</v>
      </c>
      <c r="C2" s="1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12">
      <c r="A3" s="1"/>
      <c r="B3" s="20"/>
      <c r="C3" s="1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2.75">
      <c r="A4" s="1"/>
      <c r="B4" s="113" t="s">
        <v>229</v>
      </c>
      <c r="C4" s="1"/>
      <c r="D4" s="254"/>
      <c r="E4" s="254"/>
      <c r="F4" s="254"/>
      <c r="G4" s="254"/>
      <c r="H4" s="254"/>
      <c r="I4" s="254"/>
      <c r="J4" s="254"/>
      <c r="K4" s="254"/>
      <c r="L4" s="254"/>
    </row>
    <row r="5" spans="1:12" ht="12.75">
      <c r="A5" s="1"/>
      <c r="B5" s="113"/>
      <c r="C5" s="1"/>
      <c r="D5" s="254"/>
      <c r="E5" s="254"/>
      <c r="F5" s="254"/>
      <c r="G5" s="254"/>
      <c r="H5" s="254"/>
      <c r="I5" s="254"/>
      <c r="J5" s="254"/>
      <c r="K5" s="254"/>
      <c r="L5" s="254"/>
    </row>
    <row r="6" spans="1:12" ht="12.75">
      <c r="A6" s="1"/>
      <c r="B6" s="308"/>
      <c r="C6" s="1"/>
      <c r="D6" s="254"/>
      <c r="E6" s="254"/>
      <c r="F6" s="254"/>
      <c r="G6" s="254"/>
      <c r="H6" s="254"/>
      <c r="I6" s="254"/>
      <c r="J6" s="254"/>
      <c r="K6" s="254"/>
      <c r="L6" s="254"/>
    </row>
    <row r="7" spans="1:12" ht="12">
      <c r="A7" s="1"/>
      <c r="B7" s="20"/>
      <c r="C7" s="1"/>
      <c r="D7" s="254"/>
      <c r="E7" s="254"/>
      <c r="F7" s="254"/>
      <c r="G7" s="254"/>
      <c r="H7" s="254"/>
      <c r="I7" s="254"/>
      <c r="J7" s="254"/>
      <c r="K7" s="254"/>
      <c r="L7" s="254"/>
    </row>
    <row r="8" spans="1:12" ht="15">
      <c r="A8" s="1"/>
      <c r="B8" s="115" t="s">
        <v>230</v>
      </c>
      <c r="C8" s="1"/>
      <c r="D8" s="254"/>
      <c r="E8" s="254"/>
      <c r="F8" s="254"/>
      <c r="G8" s="254"/>
      <c r="H8" s="254"/>
      <c r="I8" s="254"/>
      <c r="J8" s="254"/>
      <c r="K8" s="254"/>
      <c r="L8" s="254"/>
    </row>
    <row r="9" spans="1:12" ht="15">
      <c r="A9" s="1"/>
      <c r="B9" s="115" t="s">
        <v>231</v>
      </c>
      <c r="C9" s="1"/>
      <c r="D9" s="254"/>
      <c r="E9" s="254"/>
      <c r="F9" s="254"/>
      <c r="G9" s="254"/>
      <c r="H9" s="254"/>
      <c r="I9" s="254"/>
      <c r="J9" s="254"/>
      <c r="K9" s="254"/>
      <c r="L9" s="254"/>
    </row>
    <row r="10" spans="1:12" ht="15">
      <c r="A10" s="1"/>
      <c r="B10" s="115" t="s">
        <v>232</v>
      </c>
      <c r="C10" s="1"/>
      <c r="D10" s="254"/>
      <c r="E10" s="254"/>
      <c r="F10" s="254"/>
      <c r="G10" s="254"/>
      <c r="H10" s="254"/>
      <c r="I10" s="254"/>
      <c r="J10" s="254"/>
      <c r="K10" s="254"/>
      <c r="L10" s="254"/>
    </row>
    <row r="11" spans="1:12" ht="15">
      <c r="A11" s="1"/>
      <c r="B11" s="115" t="s">
        <v>233</v>
      </c>
      <c r="C11" s="1"/>
      <c r="D11" s="254"/>
      <c r="E11" s="254"/>
      <c r="F11" s="254"/>
      <c r="G11" s="254"/>
      <c r="H11" s="254"/>
      <c r="I11" s="254"/>
      <c r="J11" s="254"/>
      <c r="K11" s="254"/>
      <c r="L11" s="254"/>
    </row>
    <row r="12" spans="1:12" ht="15">
      <c r="A12" s="1"/>
      <c r="B12" s="115" t="s">
        <v>234</v>
      </c>
      <c r="C12" s="1"/>
      <c r="D12" s="254"/>
      <c r="E12" s="254"/>
      <c r="F12" s="254"/>
      <c r="G12" s="254"/>
      <c r="H12" s="254"/>
      <c r="I12" s="254"/>
      <c r="J12" s="254"/>
      <c r="K12" s="254"/>
      <c r="L12" s="254"/>
    </row>
    <row r="13" spans="1:12" ht="15">
      <c r="A13" s="1"/>
      <c r="B13" s="115"/>
      <c r="C13" s="1"/>
      <c r="D13" s="254"/>
      <c r="E13" s="254"/>
      <c r="F13" s="254"/>
      <c r="G13" s="254"/>
      <c r="H13" s="254"/>
      <c r="I13" s="254"/>
      <c r="J13" s="254"/>
      <c r="K13" s="254"/>
      <c r="L13" s="254"/>
    </row>
    <row r="14" spans="1:12" ht="15">
      <c r="A14" s="1"/>
      <c r="B14" s="115" t="s">
        <v>235</v>
      </c>
      <c r="C14" s="1"/>
      <c r="D14" s="254"/>
      <c r="E14" s="254"/>
      <c r="F14" s="254"/>
      <c r="G14" s="254"/>
      <c r="H14" s="254"/>
      <c r="I14" s="254"/>
      <c r="J14" s="254"/>
      <c r="K14" s="254"/>
      <c r="L14" s="254"/>
    </row>
    <row r="15" spans="1:12" ht="15">
      <c r="A15" s="1"/>
      <c r="B15" s="115" t="s">
        <v>236</v>
      </c>
      <c r="C15" s="1"/>
      <c r="D15" s="254"/>
      <c r="E15" s="254"/>
      <c r="F15" s="254"/>
      <c r="G15" s="254"/>
      <c r="H15" s="254"/>
      <c r="I15" s="254"/>
      <c r="J15" s="254"/>
      <c r="K15" s="254"/>
      <c r="L15" s="254"/>
    </row>
    <row r="16" spans="1:12" ht="15">
      <c r="A16" s="1"/>
      <c r="B16" s="115" t="s">
        <v>237</v>
      </c>
      <c r="C16" s="1"/>
      <c r="D16" s="254"/>
      <c r="E16" s="254"/>
      <c r="F16" s="254"/>
      <c r="G16" s="254"/>
      <c r="H16" s="254"/>
      <c r="I16" s="254"/>
      <c r="J16" s="254"/>
      <c r="K16" s="254"/>
      <c r="L16" s="254"/>
    </row>
    <row r="17" spans="1:12" ht="15">
      <c r="A17" s="1"/>
      <c r="B17" s="115" t="s">
        <v>238</v>
      </c>
      <c r="C17" s="1"/>
      <c r="D17" s="254"/>
      <c r="E17" s="254"/>
      <c r="F17" s="254"/>
      <c r="G17" s="254"/>
      <c r="H17" s="254"/>
      <c r="I17" s="254"/>
      <c r="J17" s="254"/>
      <c r="K17" s="254"/>
      <c r="L17" s="254"/>
    </row>
    <row r="18" spans="1:12" ht="15">
      <c r="A18" s="1"/>
      <c r="B18" s="115" t="s">
        <v>239</v>
      </c>
      <c r="C18" s="1"/>
      <c r="D18" s="254"/>
      <c r="E18" s="254"/>
      <c r="F18" s="254"/>
      <c r="G18" s="254"/>
      <c r="H18" s="254"/>
      <c r="I18" s="254"/>
      <c r="J18" s="254"/>
      <c r="K18" s="254"/>
      <c r="L18" s="254"/>
    </row>
    <row r="19" spans="1:12" ht="15">
      <c r="A19" s="1"/>
      <c r="B19" s="115" t="s">
        <v>240</v>
      </c>
      <c r="C19" s="1"/>
      <c r="D19" s="254"/>
      <c r="E19" s="254"/>
      <c r="F19" s="254"/>
      <c r="G19" s="254"/>
      <c r="H19" s="254"/>
      <c r="I19" s="254"/>
      <c r="J19" s="254"/>
      <c r="K19" s="254"/>
      <c r="L19" s="254"/>
    </row>
    <row r="20" spans="1:12" ht="15">
      <c r="A20" s="1"/>
      <c r="B20" s="115"/>
      <c r="C20" s="1"/>
      <c r="D20" s="254"/>
      <c r="E20" s="254"/>
      <c r="F20" s="254"/>
      <c r="G20" s="254"/>
      <c r="H20" s="254"/>
      <c r="I20" s="254"/>
      <c r="J20" s="254"/>
      <c r="K20" s="254"/>
      <c r="L20" s="254"/>
    </row>
    <row r="21" spans="1:12" ht="15">
      <c r="A21" s="1"/>
      <c r="B21" s="115" t="s">
        <v>241</v>
      </c>
      <c r="C21" s="1"/>
      <c r="D21" s="254"/>
      <c r="E21" s="254"/>
      <c r="F21" s="254"/>
      <c r="G21" s="254"/>
      <c r="H21" s="254"/>
      <c r="I21" s="254"/>
      <c r="J21" s="254"/>
      <c r="K21" s="254"/>
      <c r="L21" s="254"/>
    </row>
    <row r="22" spans="1:12" ht="15">
      <c r="A22" s="1"/>
      <c r="B22" s="115" t="s">
        <v>242</v>
      </c>
      <c r="C22" s="1"/>
      <c r="D22" s="254"/>
      <c r="E22" s="254"/>
      <c r="F22" s="254"/>
      <c r="G22" s="254"/>
      <c r="H22" s="254"/>
      <c r="I22" s="254"/>
      <c r="J22" s="254"/>
      <c r="K22" s="254"/>
      <c r="L22" s="254"/>
    </row>
    <row r="23" spans="1:12" ht="15">
      <c r="A23" s="1"/>
      <c r="B23" s="115"/>
      <c r="C23" s="1"/>
      <c r="D23" s="254"/>
      <c r="E23" s="254"/>
      <c r="F23" s="254"/>
      <c r="G23" s="254"/>
      <c r="H23" s="254"/>
      <c r="I23" s="254"/>
      <c r="J23" s="254"/>
      <c r="K23" s="254"/>
      <c r="L23" s="254"/>
    </row>
    <row r="24" spans="1:12" ht="15">
      <c r="A24" s="1"/>
      <c r="B24" s="115"/>
      <c r="C24" s="1"/>
      <c r="D24" s="254"/>
      <c r="E24" s="254"/>
      <c r="F24" s="254"/>
      <c r="G24" s="254"/>
      <c r="H24" s="254"/>
      <c r="I24" s="254"/>
      <c r="J24" s="254"/>
      <c r="K24" s="254"/>
      <c r="L24" s="254"/>
    </row>
    <row r="25" spans="1:12" ht="15">
      <c r="A25" s="1"/>
      <c r="B25" s="225" t="s">
        <v>254</v>
      </c>
      <c r="C25" s="1"/>
      <c r="D25" s="254"/>
      <c r="E25" s="254"/>
      <c r="F25" s="254"/>
      <c r="G25" s="254"/>
      <c r="H25" s="254"/>
      <c r="I25" s="254"/>
      <c r="J25" s="254"/>
      <c r="K25" s="254"/>
      <c r="L25" s="254"/>
    </row>
    <row r="26" spans="1:12" ht="15">
      <c r="A26" s="1"/>
      <c r="B26" s="255" t="s">
        <v>243</v>
      </c>
      <c r="C26" s="1"/>
      <c r="D26" s="254"/>
      <c r="E26" s="254"/>
      <c r="F26" s="254"/>
      <c r="G26" s="254"/>
      <c r="H26" s="254"/>
      <c r="I26" s="254"/>
      <c r="J26" s="254"/>
      <c r="K26" s="254"/>
      <c r="L26" s="254"/>
    </row>
    <row r="27" spans="1:12" ht="15">
      <c r="A27" s="1"/>
      <c r="B27" s="255"/>
      <c r="C27" s="1"/>
      <c r="D27" s="254"/>
      <c r="E27" s="254"/>
      <c r="F27" s="254"/>
      <c r="G27" s="254"/>
      <c r="H27" s="254"/>
      <c r="I27" s="254"/>
      <c r="J27" s="254"/>
      <c r="K27" s="254"/>
      <c r="L27" s="254"/>
    </row>
    <row r="28" spans="1:12" ht="15">
      <c r="A28" s="1"/>
      <c r="B28" s="115"/>
      <c r="C28" s="1"/>
      <c r="D28" s="254"/>
      <c r="E28" s="254"/>
      <c r="F28" s="254"/>
      <c r="G28" s="254"/>
      <c r="H28" s="254"/>
      <c r="I28" s="254"/>
      <c r="J28" s="254"/>
      <c r="K28" s="254"/>
      <c r="L28" s="254"/>
    </row>
    <row r="29" spans="1:12" ht="15">
      <c r="A29" s="1"/>
      <c r="B29" s="250" t="s">
        <v>244</v>
      </c>
      <c r="C29" s="1"/>
      <c r="D29" s="254"/>
      <c r="E29" s="254"/>
      <c r="F29" s="254"/>
      <c r="G29" s="254"/>
      <c r="H29" s="254"/>
      <c r="I29" s="254"/>
      <c r="J29" s="254"/>
      <c r="K29" s="254"/>
      <c r="L29" s="254"/>
    </row>
    <row r="30" spans="1:12" ht="15">
      <c r="A30" s="1"/>
      <c r="B30" s="250" t="s">
        <v>245</v>
      </c>
      <c r="C30" s="1"/>
      <c r="D30" s="254"/>
      <c r="E30" s="254"/>
      <c r="F30" s="254"/>
      <c r="G30" s="254"/>
      <c r="H30" s="254"/>
      <c r="I30" s="254"/>
      <c r="J30" s="254"/>
      <c r="K30" s="254"/>
      <c r="L30" s="254"/>
    </row>
    <row r="31" spans="1:12" ht="15">
      <c r="A31" s="1"/>
      <c r="B31" s="115"/>
      <c r="C31" s="1"/>
      <c r="D31" s="254"/>
      <c r="E31" s="254"/>
      <c r="F31" s="254"/>
      <c r="G31" s="254"/>
      <c r="H31" s="254"/>
      <c r="I31" s="254"/>
      <c r="J31" s="254"/>
      <c r="K31" s="254"/>
      <c r="L31" s="254"/>
    </row>
    <row r="32" spans="1:12" ht="15">
      <c r="A32" s="1"/>
      <c r="B32" s="115" t="s">
        <v>246</v>
      </c>
      <c r="C32" s="1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12" ht="15">
      <c r="A33" s="1"/>
      <c r="B33" s="115" t="s">
        <v>247</v>
      </c>
      <c r="C33" s="1"/>
      <c r="D33" s="254"/>
      <c r="E33" s="254"/>
      <c r="F33" s="254"/>
      <c r="G33" s="254"/>
      <c r="H33" s="254"/>
      <c r="I33" s="254"/>
      <c r="J33" s="254"/>
      <c r="K33" s="254"/>
      <c r="L33" s="254"/>
    </row>
    <row r="34" spans="1:12" ht="15">
      <c r="A34" s="1"/>
      <c r="B34" s="115" t="s">
        <v>248</v>
      </c>
      <c r="C34" s="1"/>
      <c r="D34" s="254"/>
      <c r="E34" s="254"/>
      <c r="F34" s="254"/>
      <c r="G34" s="254"/>
      <c r="H34" s="254"/>
      <c r="I34" s="254"/>
      <c r="J34" s="254"/>
      <c r="K34" s="254"/>
      <c r="L34" s="254"/>
    </row>
    <row r="35" spans="1:12" ht="15">
      <c r="A35" s="1"/>
      <c r="B35" s="115" t="s">
        <v>249</v>
      </c>
      <c r="C35" s="1"/>
      <c r="D35" s="254"/>
      <c r="E35" s="254"/>
      <c r="F35" s="254"/>
      <c r="G35" s="254"/>
      <c r="H35" s="254"/>
      <c r="I35" s="254"/>
      <c r="J35" s="254"/>
      <c r="K35" s="254"/>
      <c r="L35" s="254"/>
    </row>
    <row r="36" spans="1:12" ht="15">
      <c r="A36" s="1"/>
      <c r="B36" s="115" t="s">
        <v>250</v>
      </c>
      <c r="C36" s="1"/>
      <c r="D36" s="254"/>
      <c r="E36" s="254"/>
      <c r="F36" s="254"/>
      <c r="G36" s="254"/>
      <c r="H36" s="254"/>
      <c r="I36" s="254"/>
      <c r="J36" s="254"/>
      <c r="K36" s="254"/>
      <c r="L36" s="254"/>
    </row>
    <row r="37" spans="1:12" ht="15">
      <c r="A37" s="1"/>
      <c r="B37" s="115" t="s">
        <v>251</v>
      </c>
      <c r="C37" s="1"/>
      <c r="D37" s="254"/>
      <c r="E37" s="254"/>
      <c r="F37" s="254"/>
      <c r="G37" s="254"/>
      <c r="H37" s="254"/>
      <c r="I37" s="254"/>
      <c r="J37" s="254"/>
      <c r="K37" s="254"/>
      <c r="L37" s="254"/>
    </row>
    <row r="38" spans="1:12" ht="15">
      <c r="A38" s="1"/>
      <c r="B38" s="255"/>
      <c r="C38" s="1"/>
      <c r="D38" s="254"/>
      <c r="E38" s="254"/>
      <c r="F38" s="254"/>
      <c r="G38" s="254"/>
      <c r="H38" s="254"/>
      <c r="I38" s="254"/>
      <c r="J38" s="254"/>
      <c r="K38" s="254"/>
      <c r="L38" s="254"/>
    </row>
    <row r="39" spans="1:12" ht="15">
      <c r="A39" s="1"/>
      <c r="B39" s="250" t="s">
        <v>220</v>
      </c>
      <c r="C39" s="1"/>
      <c r="D39" s="254"/>
      <c r="E39" s="254"/>
      <c r="F39" s="254"/>
      <c r="G39" s="254"/>
      <c r="H39" s="254"/>
      <c r="I39" s="254"/>
      <c r="J39" s="254"/>
      <c r="K39" s="254"/>
      <c r="L39" s="254"/>
    </row>
    <row r="40" spans="1:12" ht="15">
      <c r="A40" s="1"/>
      <c r="B40" s="115" t="s">
        <v>213</v>
      </c>
      <c r="C40" s="1"/>
      <c r="D40" s="254"/>
      <c r="E40" s="254"/>
      <c r="F40" s="254"/>
      <c r="G40" s="254"/>
      <c r="H40" s="254"/>
      <c r="I40" s="254"/>
      <c r="J40" s="254"/>
      <c r="K40" s="254"/>
      <c r="L40" s="254"/>
    </row>
    <row r="41" spans="1:12" ht="15">
      <c r="A41" s="1"/>
      <c r="B41" s="115" t="s">
        <v>214</v>
      </c>
      <c r="C41" s="1"/>
      <c r="D41" s="254"/>
      <c r="E41" s="254"/>
      <c r="F41" s="254"/>
      <c r="G41" s="254"/>
      <c r="H41" s="254"/>
      <c r="I41" s="254"/>
      <c r="J41" s="254"/>
      <c r="K41" s="254"/>
      <c r="L41" s="254"/>
    </row>
    <row r="42" spans="1:12" ht="15">
      <c r="A42" s="1"/>
      <c r="B42" s="115" t="s">
        <v>284</v>
      </c>
      <c r="C42" s="1"/>
      <c r="D42" s="254"/>
      <c r="E42" s="254"/>
      <c r="F42" s="254"/>
      <c r="G42" s="254"/>
      <c r="H42" s="254"/>
      <c r="I42" s="254"/>
      <c r="J42" s="254"/>
      <c r="K42" s="254"/>
      <c r="L42" s="254"/>
    </row>
    <row r="43" spans="1:12" ht="15">
      <c r="A43" s="1"/>
      <c r="B43" s="115" t="s">
        <v>285</v>
      </c>
      <c r="C43" s="1"/>
      <c r="D43" s="254"/>
      <c r="E43" s="254"/>
      <c r="F43" s="254"/>
      <c r="G43" s="254"/>
      <c r="H43" s="254"/>
      <c r="I43" s="254"/>
      <c r="J43" s="254"/>
      <c r="K43" s="254"/>
      <c r="L43" s="254"/>
    </row>
    <row r="44" spans="1:12" ht="15">
      <c r="A44" s="1"/>
      <c r="B44" s="115" t="s">
        <v>286</v>
      </c>
      <c r="C44" s="1"/>
      <c r="D44" s="254"/>
      <c r="E44" s="254"/>
      <c r="F44" s="254"/>
      <c r="G44" s="254"/>
      <c r="H44" s="254"/>
      <c r="I44" s="254"/>
      <c r="J44" s="254"/>
      <c r="K44" s="254"/>
      <c r="L44" s="254"/>
    </row>
    <row r="45" spans="1:12" ht="15">
      <c r="A45" s="1"/>
      <c r="B45" s="115" t="s">
        <v>287</v>
      </c>
      <c r="C45" s="1"/>
      <c r="D45" s="254"/>
      <c r="E45" s="254"/>
      <c r="F45" s="254"/>
      <c r="G45" s="254"/>
      <c r="H45" s="254"/>
      <c r="I45" s="254"/>
      <c r="J45" s="254"/>
      <c r="K45" s="254"/>
      <c r="L45" s="254"/>
    </row>
    <row r="46" spans="1:12" ht="15">
      <c r="A46" s="1"/>
      <c r="B46" s="115" t="s">
        <v>288</v>
      </c>
      <c r="C46" s="1"/>
      <c r="D46" s="254"/>
      <c r="E46" s="254"/>
      <c r="F46" s="254"/>
      <c r="G46" s="254"/>
      <c r="H46" s="254"/>
      <c r="I46" s="254"/>
      <c r="J46" s="254"/>
      <c r="K46" s="254"/>
      <c r="L46" s="254"/>
    </row>
    <row r="47" spans="1:12" ht="15">
      <c r="A47" s="1"/>
      <c r="B47" s="115" t="s">
        <v>289</v>
      </c>
      <c r="C47" s="1"/>
      <c r="D47" s="254"/>
      <c r="E47" s="254"/>
      <c r="F47" s="254"/>
      <c r="G47" s="254"/>
      <c r="H47" s="254"/>
      <c r="I47" s="254"/>
      <c r="J47" s="254"/>
      <c r="K47" s="254"/>
      <c r="L47" s="254"/>
    </row>
    <row r="48" spans="1:12" ht="15">
      <c r="A48" s="1"/>
      <c r="B48" s="115"/>
      <c r="C48" s="1"/>
      <c r="D48" s="254"/>
      <c r="E48" s="254"/>
      <c r="F48" s="254"/>
      <c r="G48" s="254"/>
      <c r="H48" s="254"/>
      <c r="I48" s="254"/>
      <c r="J48" s="254"/>
      <c r="K48" s="254"/>
      <c r="L48" s="254"/>
    </row>
    <row r="49" spans="1:12" ht="15">
      <c r="A49" s="1"/>
      <c r="B49" s="115" t="s">
        <v>215</v>
      </c>
      <c r="C49" s="1"/>
      <c r="D49" s="254"/>
      <c r="E49" s="254"/>
      <c r="F49" s="254"/>
      <c r="G49" s="254"/>
      <c r="H49" s="254"/>
      <c r="I49" s="254"/>
      <c r="J49" s="254"/>
      <c r="K49" s="254"/>
      <c r="L49" s="254"/>
    </row>
    <row r="50" spans="1:12" ht="15">
      <c r="A50" s="1"/>
      <c r="B50" s="115" t="s">
        <v>216</v>
      </c>
      <c r="C50" s="1"/>
      <c r="D50" s="254"/>
      <c r="E50" s="254"/>
      <c r="F50" s="254"/>
      <c r="G50" s="254"/>
      <c r="H50" s="254"/>
      <c r="I50" s="254"/>
      <c r="J50" s="254"/>
      <c r="K50" s="254"/>
      <c r="L50" s="254"/>
    </row>
    <row r="51" spans="1:12" ht="15">
      <c r="A51" s="1"/>
      <c r="B51" s="225"/>
      <c r="C51" s="1"/>
      <c r="D51" s="254"/>
      <c r="E51" s="254"/>
      <c r="F51" s="254"/>
      <c r="G51" s="254"/>
      <c r="H51" s="254"/>
      <c r="I51" s="254"/>
      <c r="J51" s="254"/>
      <c r="K51" s="254"/>
      <c r="L51" s="254"/>
    </row>
    <row r="52" spans="1:12" ht="15">
      <c r="A52" s="1"/>
      <c r="B52" s="255" t="s">
        <v>218</v>
      </c>
      <c r="C52" s="1"/>
      <c r="D52" s="254"/>
      <c r="E52" s="254"/>
      <c r="F52" s="254"/>
      <c r="G52" s="254"/>
      <c r="H52" s="254"/>
      <c r="I52" s="254"/>
      <c r="J52" s="254"/>
      <c r="K52" s="254"/>
      <c r="L52" s="254"/>
    </row>
    <row r="53" spans="1:12" ht="15">
      <c r="A53" s="1"/>
      <c r="B53" s="115" t="s">
        <v>219</v>
      </c>
      <c r="C53" s="1"/>
      <c r="D53" s="254"/>
      <c r="E53" s="254"/>
      <c r="F53" s="254"/>
      <c r="G53" s="254"/>
      <c r="H53" s="254"/>
      <c r="I53" s="254"/>
      <c r="J53" s="254"/>
      <c r="K53" s="254"/>
      <c r="L53" s="254"/>
    </row>
    <row r="54" spans="1:12" ht="15">
      <c r="A54" s="1"/>
      <c r="B54" s="115" t="s">
        <v>217</v>
      </c>
      <c r="C54" s="1"/>
      <c r="D54" s="254"/>
      <c r="E54" s="254"/>
      <c r="F54" s="254"/>
      <c r="G54" s="254"/>
      <c r="H54" s="254"/>
      <c r="I54" s="254"/>
      <c r="J54" s="254"/>
      <c r="K54" s="254"/>
      <c r="L54" s="254"/>
    </row>
    <row r="55" spans="1:12" ht="15">
      <c r="A55" s="1"/>
      <c r="B55" s="304" t="s">
        <v>252</v>
      </c>
      <c r="C55" s="1"/>
      <c r="D55" s="254"/>
      <c r="E55" s="254"/>
      <c r="F55" s="254"/>
      <c r="G55" s="254"/>
      <c r="H55" s="254"/>
      <c r="I55" s="254"/>
      <c r="J55" s="254"/>
      <c r="K55" s="254"/>
      <c r="L55" s="254"/>
    </row>
    <row r="56" spans="1:12" ht="15">
      <c r="A56" s="1"/>
      <c r="B56" s="115"/>
      <c r="C56" s="1"/>
      <c r="D56" s="254"/>
      <c r="E56" s="254"/>
      <c r="F56" s="254"/>
      <c r="G56" s="254"/>
      <c r="H56" s="254"/>
      <c r="I56" s="254"/>
      <c r="J56" s="254"/>
      <c r="K56" s="254"/>
      <c r="L56" s="254"/>
    </row>
    <row r="57" spans="1:12" ht="15">
      <c r="A57" s="1"/>
      <c r="B57" s="115" t="s">
        <v>253</v>
      </c>
      <c r="C57" s="1"/>
      <c r="D57" s="254"/>
      <c r="E57" s="254"/>
      <c r="F57" s="254"/>
      <c r="G57" s="254"/>
      <c r="H57" s="254"/>
      <c r="I57" s="254"/>
      <c r="J57" s="254"/>
      <c r="K57" s="254"/>
      <c r="L57" s="254"/>
    </row>
    <row r="58" spans="1:12" ht="15">
      <c r="A58" s="1"/>
      <c r="B58" s="115" t="s">
        <v>255</v>
      </c>
      <c r="C58" s="1"/>
      <c r="D58" s="254"/>
      <c r="E58" s="254"/>
      <c r="F58" s="254"/>
      <c r="G58" s="254"/>
      <c r="H58" s="254"/>
      <c r="I58" s="254"/>
      <c r="J58" s="254"/>
      <c r="K58" s="254"/>
      <c r="L58" s="254"/>
    </row>
    <row r="59" spans="1:12" ht="15">
      <c r="A59" s="1"/>
      <c r="B59" s="255" t="s">
        <v>260</v>
      </c>
      <c r="C59" s="1"/>
      <c r="D59" s="254"/>
      <c r="E59" s="254"/>
      <c r="F59" s="254"/>
      <c r="G59" s="254"/>
      <c r="H59" s="254"/>
      <c r="I59" s="254"/>
      <c r="J59" s="254"/>
      <c r="K59" s="254"/>
      <c r="L59" s="254"/>
    </row>
    <row r="60" spans="1:12" ht="15">
      <c r="A60" s="1"/>
      <c r="B60" s="255" t="s">
        <v>261</v>
      </c>
      <c r="C60" s="1"/>
      <c r="D60" s="254"/>
      <c r="E60" s="254"/>
      <c r="F60" s="254"/>
      <c r="G60" s="254"/>
      <c r="H60" s="254"/>
      <c r="I60" s="254"/>
      <c r="J60" s="254"/>
      <c r="K60" s="254"/>
      <c r="L60" s="254"/>
    </row>
    <row r="61" spans="1:12" ht="15">
      <c r="A61" s="1"/>
      <c r="B61" s="115"/>
      <c r="C61" s="1"/>
      <c r="D61" s="254"/>
      <c r="E61" s="254"/>
      <c r="F61" s="254"/>
      <c r="G61" s="254"/>
      <c r="H61" s="254"/>
      <c r="I61" s="254"/>
      <c r="J61" s="254"/>
      <c r="K61" s="254"/>
      <c r="L61" s="254"/>
    </row>
    <row r="62" spans="1:12" ht="15">
      <c r="A62" s="1"/>
      <c r="B62" s="255" t="s">
        <v>256</v>
      </c>
      <c r="C62" s="1"/>
      <c r="D62" s="254"/>
      <c r="E62" s="254"/>
      <c r="F62" s="254"/>
      <c r="G62" s="254"/>
      <c r="H62" s="254"/>
      <c r="I62" s="254"/>
      <c r="J62" s="254"/>
      <c r="K62" s="254"/>
      <c r="L62" s="254"/>
    </row>
    <row r="63" spans="1:12" ht="15">
      <c r="A63" s="1"/>
      <c r="B63" s="115"/>
      <c r="C63" s="1"/>
      <c r="D63" s="254"/>
      <c r="E63" s="254"/>
      <c r="F63" s="254"/>
      <c r="G63" s="254"/>
      <c r="H63" s="254"/>
      <c r="I63" s="254"/>
      <c r="J63" s="254"/>
      <c r="K63" s="254"/>
      <c r="L63" s="254"/>
    </row>
    <row r="64" spans="1:12" ht="15">
      <c r="A64" s="1"/>
      <c r="B64" s="114"/>
      <c r="C64" s="1"/>
      <c r="D64" s="254"/>
      <c r="E64" s="254"/>
      <c r="F64" s="254"/>
      <c r="G64" s="254"/>
      <c r="H64" s="254"/>
      <c r="I64" s="254"/>
      <c r="J64" s="254"/>
      <c r="K64" s="254"/>
      <c r="L64" s="254"/>
    </row>
    <row r="65" spans="1:12" ht="15">
      <c r="A65" s="1"/>
      <c r="B65" s="114"/>
      <c r="C65" s="1"/>
      <c r="D65" s="254"/>
      <c r="E65" s="254"/>
      <c r="F65" s="254"/>
      <c r="G65" s="254"/>
      <c r="H65" s="254"/>
      <c r="I65" s="254"/>
      <c r="J65" s="254"/>
      <c r="K65" s="254"/>
      <c r="L65" s="254"/>
    </row>
    <row r="66" spans="1:12" ht="12.75">
      <c r="A66" s="1"/>
      <c r="B66" s="120" t="s">
        <v>59</v>
      </c>
      <c r="C66" s="1"/>
      <c r="D66" s="254"/>
      <c r="E66" s="254"/>
      <c r="F66" s="254"/>
      <c r="G66" s="254"/>
      <c r="H66" s="254"/>
      <c r="I66" s="254"/>
      <c r="J66" s="254"/>
      <c r="K66" s="254"/>
      <c r="L66" s="254"/>
    </row>
    <row r="67" spans="1:12" ht="15">
      <c r="A67" s="1"/>
      <c r="B67" s="114"/>
      <c r="C67" s="1"/>
      <c r="D67" s="254"/>
      <c r="E67" s="254"/>
      <c r="F67" s="254"/>
      <c r="G67" s="254"/>
      <c r="H67" s="254"/>
      <c r="I67" s="254"/>
      <c r="J67" s="254"/>
      <c r="K67" s="254"/>
      <c r="L67" s="254"/>
    </row>
    <row r="68" spans="1:12" ht="12">
      <c r="A68" s="1"/>
      <c r="B68" s="1"/>
      <c r="C68" s="1"/>
      <c r="D68" s="254"/>
      <c r="E68" s="254"/>
      <c r="F68" s="254"/>
      <c r="G68" s="254"/>
      <c r="H68" s="254"/>
      <c r="I68" s="254"/>
      <c r="J68" s="254"/>
      <c r="K68" s="254"/>
      <c r="L68" s="254"/>
    </row>
    <row r="69" spans="1:12" ht="12">
      <c r="A69" s="254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</row>
    <row r="70" spans="1:12" ht="12">
      <c r="A70" s="254"/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</row>
    <row r="71" spans="1:12" ht="12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</row>
    <row r="72" spans="1:12" ht="12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</row>
    <row r="73" spans="1:12" ht="12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</row>
    <row r="74" spans="1:12" ht="12">
      <c r="A74" s="254"/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</row>
    <row r="75" spans="1:12" ht="12">
      <c r="A75" s="254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</row>
    <row r="76" spans="1:12" ht="12">
      <c r="A76" s="254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</row>
    <row r="77" spans="1:12" ht="12">
      <c r="A77" s="254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</row>
    <row r="78" spans="1:12" ht="12">
      <c r="A78" s="254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</row>
    <row r="79" spans="1:12" ht="12">
      <c r="A79" s="254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</row>
    <row r="80" spans="1:12" ht="12">
      <c r="A80" s="254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</row>
    <row r="81" spans="1:12" ht="12">
      <c r="A81" s="254"/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</row>
    <row r="82" spans="1:12" ht="12">
      <c r="A82" s="254"/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</row>
    <row r="83" spans="1:12" ht="12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</row>
    <row r="84" spans="1:12" ht="12">
      <c r="A84" s="254"/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</row>
    <row r="85" spans="1:12" ht="12">
      <c r="A85" s="254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</row>
    <row r="86" spans="1:12" ht="12">
      <c r="A86" s="254"/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</row>
    <row r="87" spans="1:12" ht="12">
      <c r="A87" s="254"/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</row>
    <row r="88" spans="1:12" ht="12">
      <c r="A88" s="254"/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</row>
    <row r="89" spans="1:4" ht="12">
      <c r="A89" s="254"/>
      <c r="B89" s="254"/>
      <c r="C89" s="254"/>
      <c r="D89" s="254"/>
    </row>
  </sheetData>
  <sheetProtection password="D8FD" sheet="1" objects="1" scenarios="1"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T4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.8515625" style="0" customWidth="1"/>
    <col min="2" max="2" width="40.00390625" style="0" customWidth="1"/>
    <col min="4" max="4" width="5.00390625" style="0" customWidth="1"/>
    <col min="5" max="5" width="6.421875" style="0" customWidth="1"/>
    <col min="6" max="6" width="11.57421875" style="0" bestFit="1" customWidth="1"/>
    <col min="18" max="18" width="36.8515625" style="0" customWidth="1"/>
    <col min="19" max="19" width="9.28125" style="0" bestFit="1" customWidth="1"/>
    <col min="20" max="20" width="11.140625" style="0" customWidth="1"/>
  </cols>
  <sheetData>
    <row r="1" spans="1:20" ht="22.5">
      <c r="A1" s="7"/>
      <c r="B1" s="76" t="s">
        <v>157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2.5">
      <c r="A2" s="76"/>
      <c r="B2" s="76" t="s">
        <v>147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2.75">
      <c r="A3" s="18"/>
      <c r="B3" s="26" t="str">
        <f>Istruzioni!B66</f>
        <v>minapoli software</v>
      </c>
      <c r="C3" s="2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19">
        <f>VLOOKUP(F8,S4:T13,2)</f>
        <v>6459.63</v>
      </c>
    </row>
    <row r="4" spans="1:20" ht="12.75">
      <c r="A4" s="18"/>
      <c r="B4" s="26"/>
      <c r="C4" s="23"/>
      <c r="D4" s="2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07" t="s">
        <v>37</v>
      </c>
      <c r="S4" s="207">
        <v>1</v>
      </c>
      <c r="T4" s="215">
        <v>6207.16</v>
      </c>
    </row>
    <row r="5" spans="1:20" ht="12">
      <c r="A5" s="18"/>
      <c r="B5" s="18" t="s">
        <v>5</v>
      </c>
      <c r="C5" s="23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08" t="s">
        <v>38</v>
      </c>
      <c r="S5" s="208">
        <v>2</v>
      </c>
      <c r="T5" s="216">
        <v>6280.06</v>
      </c>
    </row>
    <row r="6" spans="1:20" ht="12.75">
      <c r="A6" s="18"/>
      <c r="B6" s="305" t="s">
        <v>212</v>
      </c>
      <c r="C6" s="23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08" t="s">
        <v>39</v>
      </c>
      <c r="S6" s="208">
        <v>3</v>
      </c>
      <c r="T6" s="216">
        <v>6371.71</v>
      </c>
    </row>
    <row r="7" spans="1:20" ht="12">
      <c r="A7" s="18"/>
      <c r="B7" s="18" t="s">
        <v>46</v>
      </c>
      <c r="C7" s="23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08" t="s">
        <v>45</v>
      </c>
      <c r="S7" s="208">
        <v>4</v>
      </c>
      <c r="T7" s="216">
        <v>6641.4</v>
      </c>
    </row>
    <row r="8" spans="1:20" ht="12.75">
      <c r="A8" s="18"/>
      <c r="B8" s="305" t="s">
        <v>43</v>
      </c>
      <c r="C8" s="23"/>
      <c r="D8" s="18"/>
      <c r="E8" s="18"/>
      <c r="F8" s="65">
        <f>VLOOKUP(B8,R14:S23,2)</f>
        <v>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08" t="s">
        <v>40</v>
      </c>
      <c r="S8" s="208">
        <v>5</v>
      </c>
      <c r="T8" s="216">
        <v>6384.11</v>
      </c>
    </row>
    <row r="9" spans="1:20" ht="12">
      <c r="A9" s="18"/>
      <c r="B9" s="23"/>
      <c r="C9" s="2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08" t="s">
        <v>2</v>
      </c>
      <c r="S9" s="208">
        <v>6</v>
      </c>
      <c r="T9" s="216">
        <v>6384.11</v>
      </c>
    </row>
    <row r="10" spans="1:20" ht="12.75">
      <c r="A10" s="18"/>
      <c r="B10" s="166" t="s">
        <v>6</v>
      </c>
      <c r="C10" s="205"/>
      <c r="D10" s="210"/>
      <c r="E10" s="167"/>
      <c r="F10" s="206">
        <v>21006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08" t="s">
        <v>41</v>
      </c>
      <c r="S10" s="208">
        <v>7</v>
      </c>
      <c r="T10" s="216">
        <v>6384.11</v>
      </c>
    </row>
    <row r="11" spans="1:20" ht="12.75">
      <c r="A11" s="18"/>
      <c r="B11" s="166" t="s">
        <v>13</v>
      </c>
      <c r="C11" s="205"/>
      <c r="D11" s="210"/>
      <c r="E11" s="167"/>
      <c r="F11" s="206">
        <v>42979</v>
      </c>
      <c r="G11" s="18"/>
      <c r="H11" s="292">
        <f>YEAR(F11)</f>
        <v>2017</v>
      </c>
      <c r="I11" s="18"/>
      <c r="J11" s="18"/>
      <c r="K11" s="18"/>
      <c r="L11" s="18"/>
      <c r="M11" s="18"/>
      <c r="N11" s="18"/>
      <c r="O11" s="18"/>
      <c r="P11" s="18"/>
      <c r="Q11" s="18"/>
      <c r="R11" s="208" t="s">
        <v>42</v>
      </c>
      <c r="S11" s="208">
        <v>8</v>
      </c>
      <c r="T11" s="216">
        <v>6459.63</v>
      </c>
    </row>
    <row r="12" spans="1:20" ht="12.75">
      <c r="A12" s="18"/>
      <c r="B12" s="25"/>
      <c r="C12" s="2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208" t="s">
        <v>43</v>
      </c>
      <c r="S12" s="208">
        <v>9</v>
      </c>
      <c r="T12" s="216">
        <v>6459.63</v>
      </c>
    </row>
    <row r="13" spans="1:20" ht="12.75">
      <c r="A13" s="18"/>
      <c r="B13" s="25"/>
      <c r="C13" s="2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09" t="s">
        <v>44</v>
      </c>
      <c r="S13" s="209">
        <v>10</v>
      </c>
      <c r="T13" s="217">
        <v>6705.6</v>
      </c>
    </row>
    <row r="14" spans="1:20" ht="12.75">
      <c r="A14" s="18"/>
      <c r="B14" s="25" t="s">
        <v>61</v>
      </c>
      <c r="C14" s="2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07" t="s">
        <v>38</v>
      </c>
      <c r="S14" s="207">
        <v>2</v>
      </c>
      <c r="T14" s="18"/>
    </row>
    <row r="15" spans="1:20" ht="12.75">
      <c r="A15" s="18"/>
      <c r="B15" s="25"/>
      <c r="C15" s="2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08" t="s">
        <v>37</v>
      </c>
      <c r="S15" s="208">
        <v>1</v>
      </c>
      <c r="T15" s="18"/>
    </row>
    <row r="16" spans="1:20" ht="12.75">
      <c r="A16" s="18"/>
      <c r="B16" s="25"/>
      <c r="C16" s="2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14" t="s">
        <v>44</v>
      </c>
      <c r="S16" s="214">
        <v>10</v>
      </c>
      <c r="T16" s="18"/>
    </row>
    <row r="17" spans="1:20" ht="12.75">
      <c r="A17" s="18"/>
      <c r="B17" s="26" t="s">
        <v>159</v>
      </c>
      <c r="C17" s="2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08" t="s">
        <v>45</v>
      </c>
      <c r="S17" s="208">
        <v>4</v>
      </c>
      <c r="T17" s="18"/>
    </row>
    <row r="18" spans="1:20" ht="12.75">
      <c r="A18" s="18"/>
      <c r="B18" s="25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08" t="s">
        <v>41</v>
      </c>
      <c r="S18" s="208">
        <v>7</v>
      </c>
      <c r="T18" s="18"/>
    </row>
    <row r="19" spans="1:20" ht="12.75">
      <c r="A19" s="18"/>
      <c r="B19" s="25"/>
      <c r="C19" s="2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08" t="s">
        <v>2</v>
      </c>
      <c r="S19" s="208">
        <v>6</v>
      </c>
      <c r="T19" s="18"/>
    </row>
    <row r="20" spans="1:20" ht="12.75">
      <c r="A20" s="18"/>
      <c r="B20" s="25"/>
      <c r="C20" s="2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208" t="s">
        <v>40</v>
      </c>
      <c r="S20" s="208">
        <v>5</v>
      </c>
      <c r="T20" s="18"/>
    </row>
    <row r="21" spans="1:20" ht="12.75">
      <c r="A21" s="18"/>
      <c r="B21" s="25"/>
      <c r="C21" s="2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08" t="s">
        <v>42</v>
      </c>
      <c r="S21" s="208">
        <v>8</v>
      </c>
      <c r="T21" s="18"/>
    </row>
    <row r="22" spans="1:20" ht="12.75">
      <c r="A22" s="18"/>
      <c r="B22" s="25"/>
      <c r="C22" s="2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08" t="s">
        <v>43</v>
      </c>
      <c r="S22" s="208">
        <v>9</v>
      </c>
      <c r="T22" s="18"/>
    </row>
    <row r="23" spans="1:20" ht="12.75">
      <c r="A23" s="18"/>
      <c r="B23" s="25"/>
      <c r="C23" s="2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3" t="s">
        <v>39</v>
      </c>
      <c r="S23" s="213">
        <v>3</v>
      </c>
      <c r="T23" s="18"/>
    </row>
    <row r="24" spans="1:20" ht="12.75">
      <c r="A24" s="18"/>
      <c r="B24" s="25"/>
      <c r="C24" s="2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25"/>
      <c r="C25" s="2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25"/>
      <c r="C26" s="2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25"/>
      <c r="C27" s="2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2.75">
      <c r="A28" s="18"/>
      <c r="B28" s="25"/>
      <c r="C28" s="2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2.75">
      <c r="A29" s="18"/>
      <c r="B29" s="25"/>
      <c r="C29" s="2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2.75">
      <c r="A30" s="18"/>
      <c r="B30" s="25"/>
      <c r="C30" s="23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2.75">
      <c r="A31" s="18"/>
      <c r="B31" s="25"/>
      <c r="C31" s="2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2.75">
      <c r="A32" s="18"/>
      <c r="B32" s="25"/>
      <c r="C32" s="23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2.75">
      <c r="A33" s="18"/>
      <c r="B33" s="25"/>
      <c r="C33" s="2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2.75">
      <c r="A34" s="18"/>
      <c r="B34" s="25"/>
      <c r="C34" s="2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2.75">
      <c r="A35" s="18"/>
      <c r="B35" s="25"/>
      <c r="C35" s="2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2.75">
      <c r="A36" s="18"/>
      <c r="B36" s="25"/>
      <c r="C36" s="2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2.75">
      <c r="A37" s="18"/>
      <c r="B37" s="25"/>
      <c r="C37" s="23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2.75">
      <c r="A38" s="18"/>
      <c r="B38" s="25"/>
      <c r="C38" s="23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2.75">
      <c r="A39" s="18"/>
      <c r="B39" s="25"/>
      <c r="C39" s="2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2.75">
      <c r="A40" s="18"/>
      <c r="B40" s="25"/>
      <c r="C40" s="23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</sheetData>
  <sheetProtection password="D8FD" sheet="1" objects="1" scenarios="1"/>
  <dataValidations count="1">
    <dataValidation type="list" allowBlank="1" showInputMessage="1" showErrorMessage="1" sqref="B8">
      <formula1>$R$3:$R$13</formula1>
    </dataValidation>
  </dataValidations>
  <printOptions/>
  <pageMargins left="0.75" right="0.75" top="1" bottom="1" header="0.5" footer="0.5"/>
  <pageSetup horizontalDpi="600" verticalDpi="600" orientation="portrait" paperSize="9" scale="77" r:id="rId2"/>
  <colBreaks count="1" manualBreakCount="1">
    <brk id="13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Y146"/>
  <sheetViews>
    <sheetView zoomScalePageLayoutView="0" workbookViewId="0" topLeftCell="A34">
      <selection activeCell="F57" sqref="F57"/>
    </sheetView>
  </sheetViews>
  <sheetFormatPr defaultColWidth="9.140625" defaultRowHeight="12.75"/>
  <cols>
    <col min="1" max="1" width="5.7109375" style="0" customWidth="1"/>
    <col min="2" max="12" width="11.7109375" style="0" customWidth="1"/>
    <col min="13" max="13" width="12.00390625" style="0" customWidth="1"/>
    <col min="14" max="14" width="13.57421875" style="0" customWidth="1"/>
    <col min="15" max="15" width="8.7109375" style="0" customWidth="1"/>
    <col min="16" max="16" width="13.00390625" style="0" customWidth="1"/>
    <col min="18" max="18" width="9.421875" style="0" customWidth="1"/>
    <col min="19" max="19" width="13.421875" style="0" customWidth="1"/>
    <col min="20" max="20" width="14.00390625" style="0" customWidth="1"/>
    <col min="21" max="21" width="15.00390625" style="0" customWidth="1"/>
  </cols>
  <sheetData>
    <row r="1" spans="1:25" ht="23.25">
      <c r="A1" s="7"/>
      <c r="B1" s="76" t="s">
        <v>157</v>
      </c>
      <c r="C1" s="6"/>
      <c r="D1" s="7"/>
      <c r="E1" s="7"/>
      <c r="F1" s="7"/>
      <c r="G1" s="7"/>
      <c r="H1" s="7"/>
      <c r="I1" s="252">
        <f>YEAR(Datipers!F11)</f>
        <v>2017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3.25">
      <c r="A2" s="76"/>
      <c r="B2" s="76" t="s">
        <v>161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2.75">
      <c r="A3" s="18"/>
      <c r="B3" s="26" t="str">
        <f>Istruzioni!B66</f>
        <v>minapoli software</v>
      </c>
      <c r="C3" s="2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2.75">
      <c r="A4" s="18"/>
      <c r="B4" s="25"/>
      <c r="C4" s="25" t="s">
        <v>61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2.75">
      <c r="A5" s="18"/>
      <c r="B5" s="18" t="s">
        <v>5</v>
      </c>
      <c r="C5" s="23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2.75">
      <c r="A6" s="18"/>
      <c r="B6" s="218" t="str">
        <f>Datipers!B6</f>
        <v>BIANCHI BIANCA</v>
      </c>
      <c r="C6" s="211"/>
      <c r="D6" s="212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18"/>
      <c r="B7" s="18"/>
      <c r="C7" s="23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2.75">
      <c r="A8" s="18"/>
      <c r="B8" s="218" t="str">
        <f>Datipers!B8</f>
        <v>Insegnante second. superiore</v>
      </c>
      <c r="C8" s="211"/>
      <c r="D8" s="21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2.75">
      <c r="A9" s="18"/>
      <c r="B9" s="23"/>
      <c r="C9" s="2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2.75">
      <c r="A10" s="18"/>
      <c r="B10" s="18" t="s">
        <v>6</v>
      </c>
      <c r="C10" s="23"/>
      <c r="D10" s="18"/>
      <c r="E10" s="18"/>
      <c r="F10" s="219">
        <f>Datipers!F10</f>
        <v>21006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.75">
      <c r="A11" s="18"/>
      <c r="B11" s="18" t="s">
        <v>13</v>
      </c>
      <c r="C11" s="23"/>
      <c r="D11" s="18"/>
      <c r="E11" s="18"/>
      <c r="F11" s="219">
        <f>Datipers!F11</f>
        <v>42979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>
      <c r="A12" s="18"/>
      <c r="B12" s="25"/>
      <c r="C12" s="2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2.75">
      <c r="A13" s="18"/>
      <c r="B13" s="25"/>
      <c r="C13" s="2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2.75">
      <c r="A14" s="18"/>
      <c r="B14" s="25"/>
      <c r="C14" s="2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75">
      <c r="A15" s="18"/>
      <c r="B15" s="202" t="s">
        <v>142</v>
      </c>
      <c r="C15" s="2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2.75">
      <c r="A16" s="18"/>
      <c r="B16" s="234" t="s">
        <v>153</v>
      </c>
      <c r="C16" s="235"/>
      <c r="D16" s="236"/>
      <c r="E16" s="236"/>
      <c r="F16" s="23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2.75">
      <c r="A17" s="18"/>
      <c r="B17" s="244" t="s">
        <v>154</v>
      </c>
      <c r="C17" s="242"/>
      <c r="D17" s="243"/>
      <c r="E17" s="243"/>
      <c r="F17" s="24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2.75">
      <c r="A18" s="18"/>
      <c r="B18" s="238" t="s">
        <v>155</v>
      </c>
      <c r="C18" s="239"/>
      <c r="D18" s="240"/>
      <c r="E18" s="240"/>
      <c r="F18" s="24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2.75">
      <c r="A19" s="18"/>
      <c r="B19" s="25"/>
      <c r="C19" s="2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00"/>
      <c r="B20" s="72" t="s">
        <v>144</v>
      </c>
      <c r="C20" s="72" t="s">
        <v>143</v>
      </c>
      <c r="D20" s="72" t="s">
        <v>23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2.75">
      <c r="A21" s="100">
        <v>1965</v>
      </c>
      <c r="B21" s="204">
        <v>24047</v>
      </c>
      <c r="C21" s="203">
        <v>24107</v>
      </c>
      <c r="D21" s="22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2.75">
      <c r="A22" s="100">
        <v>1966</v>
      </c>
      <c r="B22" s="204">
        <v>24108</v>
      </c>
      <c r="C22" s="203">
        <v>24472</v>
      </c>
      <c r="D22" s="22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2.75">
      <c r="A23" s="100">
        <v>1967</v>
      </c>
      <c r="B23" s="204">
        <v>24473</v>
      </c>
      <c r="C23" s="203">
        <v>24837</v>
      </c>
      <c r="D23" s="220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2.75">
      <c r="A24" s="100">
        <v>1968</v>
      </c>
      <c r="B24" s="204">
        <v>24838</v>
      </c>
      <c r="C24" s="203">
        <v>25050</v>
      </c>
      <c r="D24" s="22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2">
      <c r="A25" s="100">
        <v>1968</v>
      </c>
      <c r="B25" s="204">
        <v>25051</v>
      </c>
      <c r="C25" s="203">
        <v>25203</v>
      </c>
      <c r="D25" s="22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2">
      <c r="A26" s="100">
        <v>1969</v>
      </c>
      <c r="B26" s="204">
        <v>25204</v>
      </c>
      <c r="C26" s="203">
        <v>25568</v>
      </c>
      <c r="D26" s="22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2">
      <c r="A27" s="100">
        <v>1970</v>
      </c>
      <c r="B27" s="204">
        <v>25569</v>
      </c>
      <c r="C27" s="203">
        <v>25933</v>
      </c>
      <c r="D27" s="22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2">
      <c r="A28" s="100">
        <v>1971</v>
      </c>
      <c r="B28" s="204">
        <v>25934</v>
      </c>
      <c r="C28" s="203">
        <v>26298</v>
      </c>
      <c r="D28" s="22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2">
      <c r="A29" s="100">
        <v>1972</v>
      </c>
      <c r="B29" s="204">
        <v>26299</v>
      </c>
      <c r="C29" s="203">
        <v>26664</v>
      </c>
      <c r="D29" s="22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">
      <c r="A30" s="100">
        <v>1973</v>
      </c>
      <c r="B30" s="204">
        <v>26665</v>
      </c>
      <c r="C30" s="203">
        <v>27029</v>
      </c>
      <c r="D30" s="22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2">
      <c r="A31" s="100">
        <v>1974</v>
      </c>
      <c r="B31" s="204">
        <v>27030</v>
      </c>
      <c r="C31" s="203">
        <v>27165</v>
      </c>
      <c r="D31" s="22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">
      <c r="A32" s="100">
        <v>1974</v>
      </c>
      <c r="B32" s="204">
        <v>27166</v>
      </c>
      <c r="C32" s="203">
        <v>27394</v>
      </c>
      <c r="D32" s="22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">
      <c r="A33" s="100">
        <v>1975</v>
      </c>
      <c r="B33" s="204">
        <v>27395</v>
      </c>
      <c r="C33" s="203">
        <v>27545</v>
      </c>
      <c r="D33" s="22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">
      <c r="A34" s="100">
        <v>1975</v>
      </c>
      <c r="B34" s="204">
        <v>27546</v>
      </c>
      <c r="C34" s="203">
        <v>27759</v>
      </c>
      <c r="D34" s="22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2">
      <c r="A35" s="100">
        <v>1976</v>
      </c>
      <c r="B35" s="204">
        <v>27760</v>
      </c>
      <c r="C35" s="203">
        <v>28125</v>
      </c>
      <c r="D35" s="22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">
      <c r="A36" s="100">
        <v>1977</v>
      </c>
      <c r="B36" s="204">
        <v>28126</v>
      </c>
      <c r="C36" s="203">
        <v>28490</v>
      </c>
      <c r="D36" s="220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2">
      <c r="A37" s="100">
        <v>1978</v>
      </c>
      <c r="B37" s="204">
        <v>28491</v>
      </c>
      <c r="C37" s="203">
        <v>28855</v>
      </c>
      <c r="D37" s="220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2">
      <c r="A38" s="100">
        <v>1979</v>
      </c>
      <c r="B38" s="204">
        <v>28856</v>
      </c>
      <c r="C38" s="203">
        <v>29220</v>
      </c>
      <c r="D38" s="220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2">
      <c r="A39" s="100">
        <v>1980</v>
      </c>
      <c r="B39" s="204">
        <v>29221</v>
      </c>
      <c r="C39" s="203">
        <v>29280</v>
      </c>
      <c r="D39" s="22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2">
      <c r="A40" s="100">
        <v>1980</v>
      </c>
      <c r="B40" s="204">
        <v>29281</v>
      </c>
      <c r="C40" s="203">
        <v>29586</v>
      </c>
      <c r="D40" s="22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">
      <c r="A41" s="100">
        <v>1981</v>
      </c>
      <c r="B41" s="204">
        <v>29587</v>
      </c>
      <c r="C41" s="203">
        <v>29951</v>
      </c>
      <c r="D41" s="22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2">
      <c r="A42" s="100">
        <v>1982</v>
      </c>
      <c r="B42" s="204">
        <v>29952</v>
      </c>
      <c r="C42" s="203">
        <v>30132</v>
      </c>
      <c r="D42" s="22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2">
      <c r="A43" s="100">
        <v>1982</v>
      </c>
      <c r="B43" s="204">
        <v>30133</v>
      </c>
      <c r="C43" s="203">
        <v>30316</v>
      </c>
      <c r="D43" s="22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2">
      <c r="A44" s="100">
        <v>1983</v>
      </c>
      <c r="B44" s="204">
        <v>30317</v>
      </c>
      <c r="C44" s="203">
        <v>30681</v>
      </c>
      <c r="D44" s="22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2">
      <c r="A45" s="100">
        <v>1984</v>
      </c>
      <c r="B45" s="204">
        <v>30682</v>
      </c>
      <c r="C45" s="203">
        <v>31047</v>
      </c>
      <c r="D45" s="220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">
      <c r="A46" s="100">
        <v>1985</v>
      </c>
      <c r="B46" s="204">
        <v>31048</v>
      </c>
      <c r="C46" s="203">
        <v>31412</v>
      </c>
      <c r="D46" s="22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2">
      <c r="A47" s="100">
        <v>1986</v>
      </c>
      <c r="B47" s="204">
        <v>31413</v>
      </c>
      <c r="C47" s="203">
        <v>31777</v>
      </c>
      <c r="D47" s="22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2">
      <c r="A48" s="100">
        <v>1987</v>
      </c>
      <c r="B48" s="204">
        <v>31778</v>
      </c>
      <c r="C48" s="203">
        <v>32142</v>
      </c>
      <c r="D48" s="22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2">
      <c r="A49" s="100">
        <v>1988</v>
      </c>
      <c r="B49" s="204">
        <v>32143</v>
      </c>
      <c r="C49" s="203">
        <v>32508</v>
      </c>
      <c r="D49" s="22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2">
      <c r="A50" s="100">
        <v>1989</v>
      </c>
      <c r="B50" s="204">
        <v>32509</v>
      </c>
      <c r="C50" s="203">
        <v>32873</v>
      </c>
      <c r="D50" s="22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2">
      <c r="A51" s="100">
        <v>1990</v>
      </c>
      <c r="B51" s="204">
        <v>32874</v>
      </c>
      <c r="C51" s="203">
        <v>33238</v>
      </c>
      <c r="D51" s="22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2">
      <c r="A52" s="100">
        <v>1991</v>
      </c>
      <c r="B52" s="204">
        <v>33239</v>
      </c>
      <c r="C52" s="203">
        <v>33358</v>
      </c>
      <c r="D52" s="22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2">
      <c r="A53" s="100">
        <v>1991</v>
      </c>
      <c r="B53" s="204">
        <v>33359</v>
      </c>
      <c r="C53" s="203">
        <v>33603</v>
      </c>
      <c r="D53" s="22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2">
      <c r="A54" s="100">
        <v>1992</v>
      </c>
      <c r="B54" s="204">
        <v>33604</v>
      </c>
      <c r="C54" s="203">
        <v>33785</v>
      </c>
      <c r="D54" s="220">
        <v>180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2">
      <c r="A55" s="100">
        <v>1992</v>
      </c>
      <c r="B55" s="204">
        <v>33786</v>
      </c>
      <c r="C55" s="203">
        <v>33969</v>
      </c>
      <c r="D55" s="220">
        <v>180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2.75">
      <c r="A56" s="18"/>
      <c r="B56" s="18"/>
      <c r="C56" s="315" t="s">
        <v>160</v>
      </c>
      <c r="D56" s="316">
        <f>SUM(D21:D55)</f>
        <v>360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2">
      <c r="A57" s="18"/>
      <c r="B57" s="18"/>
      <c r="C57" s="100" t="s">
        <v>51</v>
      </c>
      <c r="D57" s="100">
        <f>INT(D56/360)</f>
        <v>1</v>
      </c>
      <c r="E57" s="251">
        <f>D56-360*D57</f>
        <v>0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2">
      <c r="A58" s="18"/>
      <c r="B58" s="18"/>
      <c r="C58" s="100" t="s">
        <v>52</v>
      </c>
      <c r="D58" s="100">
        <f>INT(E57/30)</f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2">
      <c r="A59" s="18"/>
      <c r="B59" s="18"/>
      <c r="C59" s="100" t="s">
        <v>23</v>
      </c>
      <c r="D59" s="100">
        <f>E57-30*D58</f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2">
      <c r="A60" s="18"/>
      <c r="B60" s="18"/>
      <c r="C60" s="314"/>
      <c r="D60" s="314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2">
      <c r="A61" s="100">
        <v>1993</v>
      </c>
      <c r="B61" s="204">
        <v>33970</v>
      </c>
      <c r="C61" s="203">
        <v>34334</v>
      </c>
      <c r="D61" s="220">
        <v>360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2">
      <c r="A62" s="100">
        <v>1994</v>
      </c>
      <c r="B62" s="204">
        <v>34335</v>
      </c>
      <c r="C62" s="203">
        <v>34699</v>
      </c>
      <c r="D62" s="220">
        <v>360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12">
      <c r="A63" s="100">
        <v>1995</v>
      </c>
      <c r="B63" s="204">
        <v>34700</v>
      </c>
      <c r="C63" s="203">
        <v>35064</v>
      </c>
      <c r="D63" s="220">
        <v>360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2.75">
      <c r="A64" s="18"/>
      <c r="B64" s="18"/>
      <c r="C64" s="315" t="s">
        <v>160</v>
      </c>
      <c r="D64" s="316">
        <f>SUM(D61:D63)</f>
        <v>1080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2.75">
      <c r="A66" s="25" t="s">
        <v>263</v>
      </c>
      <c r="B66" s="246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12">
      <c r="A67" s="18" t="s">
        <v>262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</sheetData>
  <sheetProtection password="D8FD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1:AW37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D7"/>
    </sheetView>
  </sheetViews>
  <sheetFormatPr defaultColWidth="9.140625" defaultRowHeight="12.75"/>
  <cols>
    <col min="1" max="1" width="6.421875" style="0" customWidth="1"/>
    <col min="2" max="2" width="7.7109375" style="0" customWidth="1"/>
    <col min="3" max="3" width="12.7109375" style="0" customWidth="1"/>
    <col min="4" max="4" width="12.421875" style="0" customWidth="1"/>
    <col min="5" max="5" width="11.57421875" style="0" customWidth="1"/>
    <col min="6" max="6" width="10.57421875" style="0" customWidth="1"/>
    <col min="7" max="7" width="12.57421875" style="0" customWidth="1"/>
    <col min="8" max="8" width="11.8515625" style="0" customWidth="1"/>
    <col min="9" max="9" width="10.57421875" style="0" customWidth="1"/>
    <col min="11" max="11" width="6.28125" style="0" customWidth="1"/>
    <col min="12" max="12" width="8.00390625" style="0" customWidth="1"/>
    <col min="13" max="14" width="14.140625" style="0" customWidth="1"/>
    <col min="15" max="15" width="13.140625" style="0" customWidth="1"/>
    <col min="16" max="19" width="14.140625" style="0" customWidth="1"/>
    <col min="20" max="20" width="8.7109375" style="0" customWidth="1"/>
    <col min="21" max="21" width="12.140625" style="0" customWidth="1"/>
    <col min="22" max="22" width="12.00390625" style="0" customWidth="1"/>
    <col min="23" max="23" width="12.28125" style="0" customWidth="1"/>
    <col min="24" max="24" width="14.140625" style="0" customWidth="1"/>
    <col min="25" max="25" width="6.140625" style="0" customWidth="1"/>
    <col min="26" max="26" width="10.421875" style="0" customWidth="1"/>
    <col min="27" max="27" width="11.421875" style="0" customWidth="1"/>
    <col min="28" max="28" width="11.57421875" style="0" customWidth="1"/>
    <col min="29" max="32" width="12.140625" style="0" customWidth="1"/>
    <col min="33" max="33" width="13.140625" style="0" customWidth="1"/>
    <col min="34" max="34" width="5.8515625" style="0" customWidth="1"/>
    <col min="35" max="37" width="12.00390625" style="0" customWidth="1"/>
    <col min="38" max="38" width="12.28125" style="0" customWidth="1"/>
    <col min="39" max="39" width="11.8515625" style="0" customWidth="1"/>
    <col min="40" max="40" width="12.7109375" style="0" customWidth="1"/>
    <col min="41" max="41" width="13.140625" style="0" customWidth="1"/>
    <col min="42" max="42" width="11.7109375" style="0" customWidth="1"/>
    <col min="43" max="43" width="14.421875" style="0" customWidth="1"/>
    <col min="44" max="44" width="6.7109375" style="0" customWidth="1"/>
    <col min="45" max="45" width="7.57421875" style="0" customWidth="1"/>
    <col min="46" max="46" width="13.28125" style="0" customWidth="1"/>
    <col min="47" max="47" width="13.57421875" style="0" customWidth="1"/>
    <col min="48" max="48" width="14.00390625" style="0" customWidth="1"/>
    <col min="49" max="49" width="11.7109375" style="0" customWidth="1"/>
  </cols>
  <sheetData>
    <row r="1" spans="1:49" s="261" customFormat="1" ht="18">
      <c r="A1" s="256">
        <f>Datipers!H11</f>
        <v>2017</v>
      </c>
      <c r="B1" s="257" t="s">
        <v>197</v>
      </c>
      <c r="C1" s="258"/>
      <c r="D1" s="258"/>
      <c r="E1" s="258"/>
      <c r="F1" s="258"/>
      <c r="G1" s="258"/>
      <c r="H1" s="258"/>
      <c r="I1" s="258"/>
      <c r="J1" s="258"/>
      <c r="K1" s="20"/>
      <c r="L1" s="260" t="s">
        <v>199</v>
      </c>
      <c r="M1" s="258"/>
      <c r="N1" s="264"/>
      <c r="O1" s="264"/>
      <c r="P1" s="264"/>
      <c r="Q1" s="264"/>
      <c r="R1" s="264"/>
      <c r="S1" s="264"/>
      <c r="T1" s="270"/>
      <c r="U1" s="270"/>
      <c r="V1" s="270"/>
      <c r="W1" s="270"/>
      <c r="X1" s="270"/>
      <c r="Y1" s="259"/>
      <c r="Z1" s="270"/>
      <c r="AA1" s="259"/>
      <c r="AB1" s="259"/>
      <c r="AC1" s="259"/>
      <c r="AD1" s="259"/>
      <c r="AE1" s="259"/>
      <c r="AF1" s="259"/>
      <c r="AG1" s="270"/>
      <c r="AH1" s="259"/>
      <c r="AI1" s="259"/>
      <c r="AJ1" s="259"/>
      <c r="AK1" s="259"/>
      <c r="AL1" s="259"/>
      <c r="AM1" s="270"/>
      <c r="AN1" s="259"/>
      <c r="AO1" s="259"/>
      <c r="AP1" s="259"/>
      <c r="AQ1" s="259"/>
      <c r="AR1" s="259"/>
      <c r="AS1" s="270"/>
      <c r="AT1" s="259"/>
      <c r="AU1" s="259"/>
      <c r="AV1" s="259"/>
      <c r="AW1" s="259"/>
    </row>
    <row r="2" spans="1:49" ht="18">
      <c r="A2" s="260" t="s">
        <v>198</v>
      </c>
      <c r="B2" s="262"/>
      <c r="C2" s="262"/>
      <c r="D2" s="262"/>
      <c r="E2" s="262"/>
      <c r="F2" s="262"/>
      <c r="G2" s="262"/>
      <c r="H2" s="262"/>
      <c r="I2" s="262"/>
      <c r="J2" s="262"/>
      <c r="K2" s="20"/>
      <c r="L2" s="260" t="s">
        <v>171</v>
      </c>
      <c r="M2" s="258"/>
      <c r="N2" s="20"/>
      <c r="O2" s="20"/>
      <c r="P2" s="20"/>
      <c r="Q2" s="20"/>
      <c r="R2" s="20"/>
      <c r="S2" s="20"/>
      <c r="T2" s="293"/>
      <c r="U2" s="293"/>
      <c r="V2" s="293"/>
      <c r="W2" s="293"/>
      <c r="X2" s="293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</row>
    <row r="3" spans="1:49" ht="18">
      <c r="A3" s="260" t="s">
        <v>195</v>
      </c>
      <c r="B3" s="262"/>
      <c r="C3" s="262"/>
      <c r="D3" s="262"/>
      <c r="E3" s="262"/>
      <c r="F3" s="262"/>
      <c r="G3" s="262"/>
      <c r="H3" s="262"/>
      <c r="I3" s="262"/>
      <c r="J3" s="300" t="s">
        <v>201</v>
      </c>
      <c r="K3" s="20"/>
      <c r="L3" s="260" t="s">
        <v>200</v>
      </c>
      <c r="M3" s="258"/>
      <c r="N3" s="264"/>
      <c r="O3" s="264"/>
      <c r="P3" s="264"/>
      <c r="Q3" s="264"/>
      <c r="R3" s="264"/>
      <c r="S3" s="264"/>
      <c r="T3" s="270"/>
      <c r="U3" s="270"/>
      <c r="V3" s="270"/>
      <c r="W3" s="270"/>
      <c r="X3" s="270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</row>
    <row r="4" spans="1:49" ht="15.75">
      <c r="A4" s="263" t="s">
        <v>194</v>
      </c>
      <c r="B4" s="263"/>
      <c r="C4" s="20"/>
      <c r="D4" s="20"/>
      <c r="E4" s="20"/>
      <c r="F4" s="20"/>
      <c r="G4" s="113" t="s">
        <v>62</v>
      </c>
      <c r="H4" s="113"/>
      <c r="I4" s="113" t="s">
        <v>63</v>
      </c>
      <c r="J4" s="20"/>
      <c r="K4" s="20"/>
      <c r="L4" s="263"/>
      <c r="M4" s="264"/>
      <c r="N4" s="20"/>
      <c r="O4" s="20" t="s">
        <v>210</v>
      </c>
      <c r="P4" s="264"/>
      <c r="Q4" s="20"/>
      <c r="R4" s="20"/>
      <c r="S4" s="20"/>
      <c r="T4" s="293"/>
      <c r="U4" s="270"/>
      <c r="V4" s="270"/>
      <c r="W4" s="293"/>
      <c r="X4" s="293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</row>
    <row r="5" spans="1:49" ht="15.75">
      <c r="A5" s="312"/>
      <c r="B5" s="312"/>
      <c r="C5" s="265">
        <v>20000000</v>
      </c>
      <c r="D5" s="266" t="s">
        <v>162</v>
      </c>
      <c r="E5" s="267">
        <f>C5/1936.27</f>
        <v>10329.13798178973</v>
      </c>
      <c r="F5" s="313"/>
      <c r="G5" s="268">
        <v>15000</v>
      </c>
      <c r="H5" s="269" t="s">
        <v>258</v>
      </c>
      <c r="I5" s="267">
        <f>G5/12</f>
        <v>1250</v>
      </c>
      <c r="J5" s="313"/>
      <c r="K5" s="20"/>
      <c r="L5" s="20"/>
      <c r="M5" s="20"/>
      <c r="N5" s="264"/>
      <c r="O5" s="264"/>
      <c r="P5" s="264"/>
      <c r="Q5" s="264"/>
      <c r="R5" s="264"/>
      <c r="S5" s="264"/>
      <c r="T5" s="270"/>
      <c r="U5" s="270"/>
      <c r="V5" s="270"/>
      <c r="W5" s="270"/>
      <c r="X5" s="270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</row>
    <row r="6" spans="1:49" ht="15.75">
      <c r="A6" s="312"/>
      <c r="B6" s="312"/>
      <c r="C6" s="312"/>
      <c r="D6" s="259" t="s">
        <v>257</v>
      </c>
      <c r="E6" s="267">
        <f>E5/12</f>
        <v>860.7614984824776</v>
      </c>
      <c r="F6" s="313"/>
      <c r="G6" s="313"/>
      <c r="H6" s="259" t="s">
        <v>259</v>
      </c>
      <c r="I6" s="267">
        <f>I5-F141</f>
        <v>711.7</v>
      </c>
      <c r="J6" s="313"/>
      <c r="K6" s="259"/>
      <c r="L6" s="270"/>
      <c r="M6" s="270"/>
      <c r="N6" s="20"/>
      <c r="O6" s="20"/>
      <c r="P6" s="20"/>
      <c r="Q6" s="20"/>
      <c r="R6" s="20"/>
      <c r="S6" s="20"/>
      <c r="T6" s="273" t="s">
        <v>193</v>
      </c>
      <c r="U6" s="288"/>
      <c r="V6" s="288"/>
      <c r="W6" s="272"/>
      <c r="X6" s="293"/>
      <c r="Y6" s="259"/>
      <c r="Z6" s="270"/>
      <c r="AA6" s="259"/>
      <c r="AB6" s="259"/>
      <c r="AC6" s="259"/>
      <c r="AD6" s="259"/>
      <c r="AE6" s="259"/>
      <c r="AF6" s="259"/>
      <c r="AG6" s="270"/>
      <c r="AH6" s="259"/>
      <c r="AI6" s="259"/>
      <c r="AJ6" s="259"/>
      <c r="AK6" s="259"/>
      <c r="AL6" s="259"/>
      <c r="AM6" s="270"/>
      <c r="AN6" s="259"/>
      <c r="AO6" s="259"/>
      <c r="AP6" s="259"/>
      <c r="AQ6" s="259"/>
      <c r="AR6" s="259"/>
      <c r="AS6" s="270"/>
      <c r="AT6" s="259"/>
      <c r="AU6" s="259"/>
      <c r="AV6" s="259"/>
      <c r="AW6" s="259"/>
    </row>
    <row r="7" spans="1:49" ht="15">
      <c r="A7" s="271">
        <f>Datipers!F8</f>
        <v>9</v>
      </c>
      <c r="B7" s="330" t="str">
        <f>Datipers!B8</f>
        <v>Insegnante second. superiore</v>
      </c>
      <c r="C7" s="331"/>
      <c r="D7" s="332"/>
      <c r="E7" s="301" t="s">
        <v>211</v>
      </c>
      <c r="F7" s="302"/>
      <c r="G7" s="302"/>
      <c r="H7" s="303"/>
      <c r="I7" s="273" t="s">
        <v>196</v>
      </c>
      <c r="J7" s="272"/>
      <c r="K7" s="259"/>
      <c r="L7" s="259"/>
      <c r="M7" s="247" t="s">
        <v>201</v>
      </c>
      <c r="N7" s="264"/>
      <c r="O7" s="264"/>
      <c r="P7" s="264"/>
      <c r="Q7" s="264"/>
      <c r="R7" s="264"/>
      <c r="S7" s="264"/>
      <c r="T7" s="289">
        <v>1</v>
      </c>
      <c r="U7" s="286">
        <v>517.26</v>
      </c>
      <c r="V7" s="290">
        <v>6207.12</v>
      </c>
      <c r="W7" s="289">
        <v>36</v>
      </c>
      <c r="X7" s="293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</row>
    <row r="8" spans="1:49" ht="12.75">
      <c r="A8" s="274" t="s">
        <v>163</v>
      </c>
      <c r="B8" s="275" t="s">
        <v>164</v>
      </c>
      <c r="C8" s="275" t="s">
        <v>165</v>
      </c>
      <c r="D8" s="275" t="s">
        <v>166</v>
      </c>
      <c r="E8" s="276" t="s">
        <v>15</v>
      </c>
      <c r="F8" s="276" t="s">
        <v>167</v>
      </c>
      <c r="G8" s="276" t="s">
        <v>15</v>
      </c>
      <c r="H8" s="275" t="s">
        <v>169</v>
      </c>
      <c r="I8" s="274" t="s">
        <v>170</v>
      </c>
      <c r="J8" s="274" t="s">
        <v>170</v>
      </c>
      <c r="K8" s="259"/>
      <c r="L8" s="277" t="s">
        <v>15</v>
      </c>
      <c r="M8" s="278" t="s">
        <v>171</v>
      </c>
      <c r="N8" s="20"/>
      <c r="O8" s="274" t="s">
        <v>15</v>
      </c>
      <c r="P8" s="274" t="s">
        <v>203</v>
      </c>
      <c r="Q8" s="274" t="s">
        <v>204</v>
      </c>
      <c r="R8" s="274" t="s">
        <v>208</v>
      </c>
      <c r="S8" s="20"/>
      <c r="T8" s="289">
        <v>2</v>
      </c>
      <c r="U8" s="286">
        <v>523.34</v>
      </c>
      <c r="V8" s="290">
        <v>6280.08</v>
      </c>
      <c r="W8" s="289">
        <v>36</v>
      </c>
      <c r="X8" s="293"/>
      <c r="Y8" s="259"/>
      <c r="Z8" s="277" t="s">
        <v>15</v>
      </c>
      <c r="AA8" s="278" t="s">
        <v>171</v>
      </c>
      <c r="AB8" s="274" t="s">
        <v>172</v>
      </c>
      <c r="AC8" s="274" t="s">
        <v>172</v>
      </c>
      <c r="AD8" s="278" t="s">
        <v>168</v>
      </c>
      <c r="AE8" s="278" t="s">
        <v>202</v>
      </c>
      <c r="AF8" s="278" t="s">
        <v>207</v>
      </c>
      <c r="AG8" s="294" t="s">
        <v>206</v>
      </c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</row>
    <row r="9" spans="1:49" ht="15">
      <c r="A9" s="279" t="s">
        <v>0</v>
      </c>
      <c r="B9" s="280" t="s">
        <v>173</v>
      </c>
      <c r="C9" s="280" t="s">
        <v>63</v>
      </c>
      <c r="D9" s="280" t="s">
        <v>174</v>
      </c>
      <c r="E9" s="279" t="s">
        <v>175</v>
      </c>
      <c r="F9" s="279" t="s">
        <v>145</v>
      </c>
      <c r="G9" s="280" t="s">
        <v>27</v>
      </c>
      <c r="H9" s="280" t="s">
        <v>63</v>
      </c>
      <c r="I9" s="279" t="s">
        <v>177</v>
      </c>
      <c r="J9" s="279" t="s">
        <v>178</v>
      </c>
      <c r="K9" s="259"/>
      <c r="L9" s="281" t="s">
        <v>179</v>
      </c>
      <c r="M9" s="279"/>
      <c r="N9" s="264"/>
      <c r="O9" s="279" t="s">
        <v>176</v>
      </c>
      <c r="P9" s="279" t="s">
        <v>176</v>
      </c>
      <c r="Q9" s="279" t="s">
        <v>205</v>
      </c>
      <c r="R9" s="279" t="s">
        <v>150</v>
      </c>
      <c r="S9" s="264"/>
      <c r="T9" s="289">
        <v>3</v>
      </c>
      <c r="U9" s="286">
        <v>530.98</v>
      </c>
      <c r="V9" s="290">
        <v>6371.76</v>
      </c>
      <c r="W9" s="289">
        <v>36</v>
      </c>
      <c r="X9" s="293"/>
      <c r="Y9" s="259"/>
      <c r="Z9" s="281" t="s">
        <v>179</v>
      </c>
      <c r="AA9" s="279"/>
      <c r="AB9" s="279" t="s">
        <v>180</v>
      </c>
      <c r="AC9" s="279" t="s">
        <v>27</v>
      </c>
      <c r="AD9" s="279"/>
      <c r="AE9" s="279" t="s">
        <v>146</v>
      </c>
      <c r="AF9" s="279"/>
      <c r="AG9" s="295" t="s">
        <v>146</v>
      </c>
      <c r="AH9" s="259"/>
      <c r="AI9" s="259"/>
      <c r="AJ9" s="259"/>
      <c r="AK9" s="259" t="s">
        <v>20</v>
      </c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</row>
    <row r="10" spans="1:49" ht="12.75">
      <c r="A10" s="282">
        <v>1993</v>
      </c>
      <c r="B10" s="259"/>
      <c r="C10" s="259"/>
      <c r="D10" s="259"/>
      <c r="E10" s="283">
        <f aca="true" t="shared" si="0" ref="E10:J10">SUM(E11:E22)</f>
        <v>0</v>
      </c>
      <c r="F10" s="283">
        <f>SUM(F11:F22)</f>
        <v>6459.600000000001</v>
      </c>
      <c r="G10" s="283">
        <f t="shared" si="0"/>
        <v>6459.600000000001</v>
      </c>
      <c r="H10" s="283">
        <f t="shared" si="0"/>
        <v>0</v>
      </c>
      <c r="I10" s="325">
        <f t="shared" si="0"/>
        <v>216</v>
      </c>
      <c r="J10" s="325">
        <f t="shared" si="0"/>
        <v>216</v>
      </c>
      <c r="K10" s="259"/>
      <c r="L10" s="259"/>
      <c r="M10" s="259"/>
      <c r="N10" s="20"/>
      <c r="O10" s="136">
        <f>SUM(O11:O22)</f>
        <v>6459.600000000001</v>
      </c>
      <c r="P10" s="136">
        <f>SUM(P11:P22)</f>
        <v>0</v>
      </c>
      <c r="Q10" s="136">
        <f>SUM(Q11:Q22)</f>
        <v>0</v>
      </c>
      <c r="R10" s="136">
        <f>J10/I10</f>
        <v>1</v>
      </c>
      <c r="S10" s="20"/>
      <c r="T10" s="289">
        <v>4</v>
      </c>
      <c r="U10" s="286">
        <v>553.45</v>
      </c>
      <c r="V10" s="290">
        <v>6641.4</v>
      </c>
      <c r="W10" s="289">
        <v>36</v>
      </c>
      <c r="X10" s="293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 t="s">
        <v>268</v>
      </c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</row>
    <row r="11" spans="1:49" ht="15">
      <c r="A11" s="284" t="s">
        <v>181</v>
      </c>
      <c r="B11" s="220"/>
      <c r="C11" s="285">
        <v>0</v>
      </c>
      <c r="D11" s="285">
        <v>0</v>
      </c>
      <c r="E11" s="184">
        <f aca="true" t="shared" si="1" ref="E11:E76">C11+D11</f>
        <v>0</v>
      </c>
      <c r="F11" s="285">
        <f>VLOOKUP(A7,T7:U16,2)</f>
        <v>538.3</v>
      </c>
      <c r="G11" s="184">
        <f>SUM(E11:F11)</f>
        <v>538.3</v>
      </c>
      <c r="H11" s="285">
        <v>0</v>
      </c>
      <c r="I11" s="324">
        <f>VLOOKUP(A7,T7:W16,4)</f>
        <v>18</v>
      </c>
      <c r="J11" s="324">
        <f>I11</f>
        <v>18</v>
      </c>
      <c r="K11" s="259"/>
      <c r="L11" s="282">
        <v>1993</v>
      </c>
      <c r="M11" s="285"/>
      <c r="N11" s="20"/>
      <c r="O11" s="184">
        <f>G11/I11*J11</f>
        <v>538.3</v>
      </c>
      <c r="P11" s="184">
        <f>E11*0.18/I11*J11</f>
        <v>0</v>
      </c>
      <c r="Q11" s="184">
        <f>H11/I11*J11</f>
        <v>0</v>
      </c>
      <c r="R11" s="297"/>
      <c r="S11" s="264"/>
      <c r="T11" s="289">
        <v>5</v>
      </c>
      <c r="U11" s="286">
        <v>532.01</v>
      </c>
      <c r="V11" s="290">
        <v>6384.12</v>
      </c>
      <c r="W11" s="289">
        <v>25</v>
      </c>
      <c r="X11" s="293"/>
      <c r="Y11" s="259"/>
      <c r="Z11" s="282">
        <v>1993</v>
      </c>
      <c r="AA11" s="286">
        <f>M11</f>
        <v>0</v>
      </c>
      <c r="AB11" s="286">
        <f>Q10</f>
        <v>0</v>
      </c>
      <c r="AC11" s="286">
        <f>AA11+AB11</f>
        <v>0</v>
      </c>
      <c r="AD11" s="286">
        <f>P10</f>
        <v>0</v>
      </c>
      <c r="AE11" s="286">
        <f>IF(AD11&gt;AC11,AD11,AC11)</f>
        <v>0</v>
      </c>
      <c r="AF11" s="298">
        <f>G22*R10</f>
        <v>538.3</v>
      </c>
      <c r="AG11" s="291">
        <f>O10+AE11+AF11</f>
        <v>6997.9000000000015</v>
      </c>
      <c r="AH11" s="259">
        <v>10</v>
      </c>
      <c r="AI11" s="259">
        <v>22</v>
      </c>
      <c r="AJ11" s="259">
        <v>1993</v>
      </c>
      <c r="AK11" s="321">
        <f>O10</f>
        <v>6459.600000000001</v>
      </c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</row>
    <row r="12" spans="1:49" ht="12.75">
      <c r="A12" s="284" t="s">
        <v>182</v>
      </c>
      <c r="B12" s="220"/>
      <c r="C12" s="285">
        <f aca="true" t="shared" si="2" ref="C12:D22">C11</f>
        <v>0</v>
      </c>
      <c r="D12" s="285">
        <f t="shared" si="2"/>
        <v>0</v>
      </c>
      <c r="E12" s="184">
        <f t="shared" si="1"/>
        <v>0</v>
      </c>
      <c r="F12" s="285">
        <f>F11</f>
        <v>538.3</v>
      </c>
      <c r="G12" s="184">
        <f aca="true" t="shared" si="3" ref="G12:G22">SUM(E12:F12)</f>
        <v>538.3</v>
      </c>
      <c r="H12" s="285">
        <f>H11</f>
        <v>0</v>
      </c>
      <c r="I12" s="324">
        <f aca="true" t="shared" si="4" ref="H12:J22">I11</f>
        <v>18</v>
      </c>
      <c r="J12" s="324">
        <f t="shared" si="4"/>
        <v>18</v>
      </c>
      <c r="K12" s="259"/>
      <c r="L12" s="282">
        <f aca="true" t="shared" si="5" ref="L12:L38">L11+1</f>
        <v>1994</v>
      </c>
      <c r="M12" s="285"/>
      <c r="N12" s="20"/>
      <c r="O12" s="184">
        <f aca="true" t="shared" si="6" ref="O12:O22">G12/I12*J12</f>
        <v>538.3</v>
      </c>
      <c r="P12" s="184">
        <f aca="true" t="shared" si="7" ref="P12:P22">E12*0.18/I12*J12</f>
        <v>0</v>
      </c>
      <c r="Q12" s="184">
        <f aca="true" t="shared" si="8" ref="Q12:Q22">H12/I12*J12</f>
        <v>0</v>
      </c>
      <c r="R12" s="297"/>
      <c r="S12" s="20"/>
      <c r="T12" s="289">
        <v>6</v>
      </c>
      <c r="U12" s="286">
        <v>532.01</v>
      </c>
      <c r="V12" s="290">
        <v>6384.12</v>
      </c>
      <c r="W12" s="289">
        <v>24</v>
      </c>
      <c r="X12" s="293"/>
      <c r="Y12" s="259"/>
      <c r="Z12" s="282">
        <f aca="true" t="shared" si="9" ref="Z12:Z38">Z11+1</f>
        <v>1994</v>
      </c>
      <c r="AA12" s="286">
        <f aca="true" t="shared" si="10" ref="AA12:AA38">M12</f>
        <v>0</v>
      </c>
      <c r="AB12" s="286">
        <f>Q23</f>
        <v>0</v>
      </c>
      <c r="AC12" s="286">
        <f aca="true" t="shared" si="11" ref="AC12:AC38">AA12+AB12</f>
        <v>0</v>
      </c>
      <c r="AD12" s="286">
        <f>P23</f>
        <v>0</v>
      </c>
      <c r="AE12" s="286">
        <f aca="true" t="shared" si="12" ref="AE12:AE38">IF(AD12&gt;AC12,AD12,AC12)</f>
        <v>0</v>
      </c>
      <c r="AF12" s="298">
        <f>G35*R23</f>
        <v>538.3</v>
      </c>
      <c r="AG12" s="291">
        <f>O23+AE12+AF12</f>
        <v>6997.9000000000015</v>
      </c>
      <c r="AH12" s="259">
        <f>AH11+13</f>
        <v>23</v>
      </c>
      <c r="AI12" s="259">
        <f>AI11+13</f>
        <v>35</v>
      </c>
      <c r="AJ12" s="259">
        <f>AJ11+1</f>
        <v>1994</v>
      </c>
      <c r="AK12" s="321">
        <f>O23</f>
        <v>6459.600000000001</v>
      </c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</row>
    <row r="13" spans="1:49" ht="15">
      <c r="A13" s="284" t="s">
        <v>183</v>
      </c>
      <c r="B13" s="220"/>
      <c r="C13" s="285">
        <f t="shared" si="2"/>
        <v>0</v>
      </c>
      <c r="D13" s="285">
        <f t="shared" si="2"/>
        <v>0</v>
      </c>
      <c r="E13" s="184">
        <f t="shared" si="1"/>
        <v>0</v>
      </c>
      <c r="F13" s="285">
        <f aca="true" t="shared" si="13" ref="F13:F22">F12</f>
        <v>538.3</v>
      </c>
      <c r="G13" s="184">
        <f t="shared" si="3"/>
        <v>538.3</v>
      </c>
      <c r="H13" s="285">
        <f t="shared" si="4"/>
        <v>0</v>
      </c>
      <c r="I13" s="324">
        <f t="shared" si="4"/>
        <v>18</v>
      </c>
      <c r="J13" s="324">
        <f t="shared" si="4"/>
        <v>18</v>
      </c>
      <c r="K13" s="259"/>
      <c r="L13" s="282">
        <f t="shared" si="5"/>
        <v>1995</v>
      </c>
      <c r="M13" s="285"/>
      <c r="N13" s="264"/>
      <c r="O13" s="184">
        <f t="shared" si="6"/>
        <v>538.3</v>
      </c>
      <c r="P13" s="184">
        <f t="shared" si="7"/>
        <v>0</v>
      </c>
      <c r="Q13" s="184">
        <f t="shared" si="8"/>
        <v>0</v>
      </c>
      <c r="R13" s="297"/>
      <c r="S13" s="264"/>
      <c r="T13" s="289">
        <v>7</v>
      </c>
      <c r="U13" s="286">
        <v>532.01</v>
      </c>
      <c r="V13" s="290">
        <v>6384.12</v>
      </c>
      <c r="W13" s="289">
        <v>18</v>
      </c>
      <c r="X13" s="293"/>
      <c r="Y13" s="259"/>
      <c r="Z13" s="282">
        <f t="shared" si="9"/>
        <v>1995</v>
      </c>
      <c r="AA13" s="286">
        <f t="shared" si="10"/>
        <v>0</v>
      </c>
      <c r="AB13" s="286">
        <f>Q36</f>
        <v>0</v>
      </c>
      <c r="AC13" s="286">
        <f t="shared" si="11"/>
        <v>0</v>
      </c>
      <c r="AD13" s="286">
        <f>P36</f>
        <v>0</v>
      </c>
      <c r="AE13" s="286">
        <f t="shared" si="12"/>
        <v>0</v>
      </c>
      <c r="AF13" s="298">
        <f>G48*R36</f>
        <v>538.3</v>
      </c>
      <c r="AG13" s="291">
        <f>O36+AE13+AF13</f>
        <v>6997.9000000000015</v>
      </c>
      <c r="AH13" s="259">
        <f aca="true" t="shared" si="14" ref="AH13:AH38">AH12+13</f>
        <v>36</v>
      </c>
      <c r="AI13" s="259">
        <f aca="true" t="shared" si="15" ref="AI13:AI38">AI12+13</f>
        <v>48</v>
      </c>
      <c r="AJ13" s="259">
        <f aca="true" t="shared" si="16" ref="AJ13:AJ38">AJ12+1</f>
        <v>1995</v>
      </c>
      <c r="AK13" s="321">
        <f>O36</f>
        <v>6459.600000000001</v>
      </c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</row>
    <row r="14" spans="1:49" ht="12.75">
      <c r="A14" s="284" t="s">
        <v>184</v>
      </c>
      <c r="B14" s="220"/>
      <c r="C14" s="285">
        <f t="shared" si="2"/>
        <v>0</v>
      </c>
      <c r="D14" s="285">
        <f t="shared" si="2"/>
        <v>0</v>
      </c>
      <c r="E14" s="184">
        <f t="shared" si="1"/>
        <v>0</v>
      </c>
      <c r="F14" s="285">
        <f t="shared" si="13"/>
        <v>538.3</v>
      </c>
      <c r="G14" s="184">
        <f t="shared" si="3"/>
        <v>538.3</v>
      </c>
      <c r="H14" s="285">
        <f t="shared" si="4"/>
        <v>0</v>
      </c>
      <c r="I14" s="324">
        <f t="shared" si="4"/>
        <v>18</v>
      </c>
      <c r="J14" s="324">
        <f t="shared" si="4"/>
        <v>18</v>
      </c>
      <c r="K14" s="259"/>
      <c r="L14" s="282">
        <f t="shared" si="5"/>
        <v>1996</v>
      </c>
      <c r="M14" s="285"/>
      <c r="N14" s="20"/>
      <c r="O14" s="184">
        <f t="shared" si="6"/>
        <v>538.3</v>
      </c>
      <c r="P14" s="184">
        <f t="shared" si="7"/>
        <v>0</v>
      </c>
      <c r="Q14" s="184">
        <f t="shared" si="8"/>
        <v>0</v>
      </c>
      <c r="R14" s="297"/>
      <c r="S14" s="20"/>
      <c r="T14" s="289">
        <v>8</v>
      </c>
      <c r="U14" s="286">
        <v>538.3</v>
      </c>
      <c r="V14" s="290">
        <v>6459.6</v>
      </c>
      <c r="W14" s="289">
        <v>18</v>
      </c>
      <c r="X14" s="293"/>
      <c r="Y14" s="259"/>
      <c r="Z14" s="282">
        <f t="shared" si="9"/>
        <v>1996</v>
      </c>
      <c r="AA14" s="286">
        <f t="shared" si="10"/>
        <v>0</v>
      </c>
      <c r="AB14" s="286">
        <f>Q49</f>
        <v>0</v>
      </c>
      <c r="AC14" s="286">
        <f t="shared" si="11"/>
        <v>0</v>
      </c>
      <c r="AD14" s="286">
        <f>P49</f>
        <v>0</v>
      </c>
      <c r="AE14" s="286">
        <f t="shared" si="12"/>
        <v>0</v>
      </c>
      <c r="AF14" s="298">
        <f>G61*R49</f>
        <v>538.3</v>
      </c>
      <c r="AG14" s="291">
        <f>O49+AE14+AF14</f>
        <v>6997.9000000000015</v>
      </c>
      <c r="AH14" s="259">
        <f t="shared" si="14"/>
        <v>49</v>
      </c>
      <c r="AI14" s="259">
        <f t="shared" si="15"/>
        <v>61</v>
      </c>
      <c r="AJ14" s="259">
        <f t="shared" si="16"/>
        <v>1996</v>
      </c>
      <c r="AK14" s="321">
        <f>O49</f>
        <v>6459.600000000001</v>
      </c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</row>
    <row r="15" spans="1:49" ht="15">
      <c r="A15" s="284" t="s">
        <v>185</v>
      </c>
      <c r="B15" s="220"/>
      <c r="C15" s="285">
        <f t="shared" si="2"/>
        <v>0</v>
      </c>
      <c r="D15" s="285">
        <f t="shared" si="2"/>
        <v>0</v>
      </c>
      <c r="E15" s="184">
        <f t="shared" si="1"/>
        <v>0</v>
      </c>
      <c r="F15" s="285">
        <f t="shared" si="13"/>
        <v>538.3</v>
      </c>
      <c r="G15" s="184">
        <f t="shared" si="3"/>
        <v>538.3</v>
      </c>
      <c r="H15" s="285">
        <f t="shared" si="4"/>
        <v>0</v>
      </c>
      <c r="I15" s="324">
        <f t="shared" si="4"/>
        <v>18</v>
      </c>
      <c r="J15" s="324">
        <f t="shared" si="4"/>
        <v>18</v>
      </c>
      <c r="K15" s="259"/>
      <c r="L15" s="282">
        <f t="shared" si="5"/>
        <v>1997</v>
      </c>
      <c r="M15" s="285"/>
      <c r="N15" s="264"/>
      <c r="O15" s="184">
        <f t="shared" si="6"/>
        <v>538.3</v>
      </c>
      <c r="P15" s="184">
        <f t="shared" si="7"/>
        <v>0</v>
      </c>
      <c r="Q15" s="184">
        <f t="shared" si="8"/>
        <v>0</v>
      </c>
      <c r="R15" s="297"/>
      <c r="S15" s="264"/>
      <c r="T15" s="289">
        <v>9</v>
      </c>
      <c r="U15" s="286">
        <v>538.3</v>
      </c>
      <c r="V15" s="290">
        <v>6459.6</v>
      </c>
      <c r="W15" s="289">
        <v>18</v>
      </c>
      <c r="X15" s="293"/>
      <c r="Y15" s="259"/>
      <c r="Z15" s="282">
        <f t="shared" si="9"/>
        <v>1997</v>
      </c>
      <c r="AA15" s="286">
        <f t="shared" si="10"/>
        <v>0</v>
      </c>
      <c r="AB15" s="286">
        <f>Q62</f>
        <v>0</v>
      </c>
      <c r="AC15" s="286">
        <f t="shared" si="11"/>
        <v>0</v>
      </c>
      <c r="AD15" s="286">
        <f>P62</f>
        <v>0</v>
      </c>
      <c r="AE15" s="286">
        <f t="shared" si="12"/>
        <v>0</v>
      </c>
      <c r="AF15" s="298">
        <f>G74*R62</f>
        <v>538.3</v>
      </c>
      <c r="AG15" s="291">
        <f>O62+AE15+AF15</f>
        <v>6997.9000000000015</v>
      </c>
      <c r="AH15" s="259">
        <f t="shared" si="14"/>
        <v>62</v>
      </c>
      <c r="AI15" s="259">
        <f t="shared" si="15"/>
        <v>74</v>
      </c>
      <c r="AJ15" s="259">
        <f t="shared" si="16"/>
        <v>1997</v>
      </c>
      <c r="AK15" s="321">
        <f>O62</f>
        <v>6459.600000000001</v>
      </c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</row>
    <row r="16" spans="1:49" ht="12.75">
      <c r="A16" s="284" t="s">
        <v>186</v>
      </c>
      <c r="B16" s="220"/>
      <c r="C16" s="285">
        <f t="shared" si="2"/>
        <v>0</v>
      </c>
      <c r="D16" s="285">
        <f t="shared" si="2"/>
        <v>0</v>
      </c>
      <c r="E16" s="184">
        <f t="shared" si="1"/>
        <v>0</v>
      </c>
      <c r="F16" s="285">
        <f t="shared" si="13"/>
        <v>538.3</v>
      </c>
      <c r="G16" s="184">
        <f t="shared" si="3"/>
        <v>538.3</v>
      </c>
      <c r="H16" s="285">
        <f t="shared" si="4"/>
        <v>0</v>
      </c>
      <c r="I16" s="324">
        <f t="shared" si="4"/>
        <v>18</v>
      </c>
      <c r="J16" s="324">
        <f t="shared" si="4"/>
        <v>18</v>
      </c>
      <c r="K16" s="259"/>
      <c r="L16" s="282">
        <f t="shared" si="5"/>
        <v>1998</v>
      </c>
      <c r="M16" s="285"/>
      <c r="N16" s="20"/>
      <c r="O16" s="184">
        <f t="shared" si="6"/>
        <v>538.3</v>
      </c>
      <c r="P16" s="184">
        <f t="shared" si="7"/>
        <v>0</v>
      </c>
      <c r="Q16" s="184">
        <f t="shared" si="8"/>
        <v>0</v>
      </c>
      <c r="R16" s="297"/>
      <c r="S16" s="20"/>
      <c r="T16" s="289">
        <v>10</v>
      </c>
      <c r="U16" s="286">
        <v>558.77</v>
      </c>
      <c r="V16" s="290">
        <v>6705.24</v>
      </c>
      <c r="W16" s="289">
        <v>36</v>
      </c>
      <c r="X16" s="293"/>
      <c r="Y16" s="259"/>
      <c r="Z16" s="282">
        <f t="shared" si="9"/>
        <v>1998</v>
      </c>
      <c r="AA16" s="286">
        <f t="shared" si="10"/>
        <v>0</v>
      </c>
      <c r="AB16" s="286">
        <f>Q75</f>
        <v>0</v>
      </c>
      <c r="AC16" s="286">
        <f t="shared" si="11"/>
        <v>0</v>
      </c>
      <c r="AD16" s="286">
        <f>P75</f>
        <v>0</v>
      </c>
      <c r="AE16" s="286">
        <f t="shared" si="12"/>
        <v>0</v>
      </c>
      <c r="AF16" s="298">
        <f>G87*R75</f>
        <v>538.3</v>
      </c>
      <c r="AG16" s="291">
        <f>O75+AE16+AF16</f>
        <v>6997.9000000000015</v>
      </c>
      <c r="AH16" s="259">
        <f t="shared" si="14"/>
        <v>75</v>
      </c>
      <c r="AI16" s="259">
        <f t="shared" si="15"/>
        <v>87</v>
      </c>
      <c r="AJ16" s="259">
        <f t="shared" si="16"/>
        <v>1998</v>
      </c>
      <c r="AK16" s="321">
        <f>O75</f>
        <v>6459.600000000001</v>
      </c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</row>
    <row r="17" spans="1:49" ht="15">
      <c r="A17" s="284" t="s">
        <v>187</v>
      </c>
      <c r="B17" s="220"/>
      <c r="C17" s="285">
        <f t="shared" si="2"/>
        <v>0</v>
      </c>
      <c r="D17" s="285">
        <f t="shared" si="2"/>
        <v>0</v>
      </c>
      <c r="E17" s="184">
        <f t="shared" si="1"/>
        <v>0</v>
      </c>
      <c r="F17" s="285">
        <f t="shared" si="13"/>
        <v>538.3</v>
      </c>
      <c r="G17" s="184">
        <f t="shared" si="3"/>
        <v>538.3</v>
      </c>
      <c r="H17" s="285">
        <f t="shared" si="4"/>
        <v>0</v>
      </c>
      <c r="I17" s="324">
        <f t="shared" si="4"/>
        <v>18</v>
      </c>
      <c r="J17" s="324">
        <f t="shared" si="4"/>
        <v>18</v>
      </c>
      <c r="K17" s="259"/>
      <c r="L17" s="282">
        <f t="shared" si="5"/>
        <v>1999</v>
      </c>
      <c r="M17" s="285"/>
      <c r="N17" s="264"/>
      <c r="O17" s="184">
        <f t="shared" si="6"/>
        <v>538.3</v>
      </c>
      <c r="P17" s="184">
        <f t="shared" si="7"/>
        <v>0</v>
      </c>
      <c r="Q17" s="184">
        <f t="shared" si="8"/>
        <v>0</v>
      </c>
      <c r="R17" s="297"/>
      <c r="S17" s="264"/>
      <c r="T17" s="270"/>
      <c r="U17" s="270"/>
      <c r="V17" s="270"/>
      <c r="W17" s="270"/>
      <c r="X17" s="270"/>
      <c r="Y17" s="259"/>
      <c r="Z17" s="282">
        <f t="shared" si="9"/>
        <v>1999</v>
      </c>
      <c r="AA17" s="286">
        <f t="shared" si="10"/>
        <v>0</v>
      </c>
      <c r="AB17" s="286">
        <f>Q88</f>
        <v>0</v>
      </c>
      <c r="AC17" s="286">
        <f t="shared" si="11"/>
        <v>0</v>
      </c>
      <c r="AD17" s="286">
        <f>P88</f>
        <v>0</v>
      </c>
      <c r="AE17" s="286">
        <f t="shared" si="12"/>
        <v>0</v>
      </c>
      <c r="AF17" s="298">
        <f>G100*R88</f>
        <v>538.3</v>
      </c>
      <c r="AG17" s="291">
        <f>O88+AE17+AF17</f>
        <v>6997.9000000000015</v>
      </c>
      <c r="AH17" s="259">
        <f t="shared" si="14"/>
        <v>88</v>
      </c>
      <c r="AI17" s="259">
        <f t="shared" si="15"/>
        <v>100</v>
      </c>
      <c r="AJ17" s="259">
        <f t="shared" si="16"/>
        <v>1999</v>
      </c>
      <c r="AK17" s="321">
        <f>O88</f>
        <v>6459.600000000001</v>
      </c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</row>
    <row r="18" spans="1:49" ht="12.75">
      <c r="A18" s="284" t="s">
        <v>188</v>
      </c>
      <c r="B18" s="220"/>
      <c r="C18" s="285">
        <f t="shared" si="2"/>
        <v>0</v>
      </c>
      <c r="D18" s="285">
        <f t="shared" si="2"/>
        <v>0</v>
      </c>
      <c r="E18" s="184">
        <f t="shared" si="1"/>
        <v>0</v>
      </c>
      <c r="F18" s="285">
        <f t="shared" si="13"/>
        <v>538.3</v>
      </c>
      <c r="G18" s="184">
        <f t="shared" si="3"/>
        <v>538.3</v>
      </c>
      <c r="H18" s="285">
        <f t="shared" si="4"/>
        <v>0</v>
      </c>
      <c r="I18" s="324">
        <f t="shared" si="4"/>
        <v>18</v>
      </c>
      <c r="J18" s="324">
        <f t="shared" si="4"/>
        <v>18</v>
      </c>
      <c r="K18" s="259"/>
      <c r="L18" s="282">
        <f t="shared" si="5"/>
        <v>2000</v>
      </c>
      <c r="M18" s="285"/>
      <c r="N18" s="20"/>
      <c r="O18" s="184">
        <f t="shared" si="6"/>
        <v>538.3</v>
      </c>
      <c r="P18" s="184">
        <f t="shared" si="7"/>
        <v>0</v>
      </c>
      <c r="Q18" s="184">
        <f t="shared" si="8"/>
        <v>0</v>
      </c>
      <c r="R18" s="297"/>
      <c r="S18" s="20"/>
      <c r="T18" s="299" t="s">
        <v>209</v>
      </c>
      <c r="U18" s="288"/>
      <c r="V18" s="272"/>
      <c r="W18" s="286">
        <f>L221</f>
        <v>0</v>
      </c>
      <c r="X18" s="293"/>
      <c r="Y18" s="259"/>
      <c r="Z18" s="282">
        <f t="shared" si="9"/>
        <v>2000</v>
      </c>
      <c r="AA18" s="286">
        <f t="shared" si="10"/>
        <v>0</v>
      </c>
      <c r="AB18" s="286">
        <f>Q101</f>
        <v>0</v>
      </c>
      <c r="AC18" s="286">
        <f t="shared" si="11"/>
        <v>0</v>
      </c>
      <c r="AD18" s="286">
        <f>P101</f>
        <v>0</v>
      </c>
      <c r="AE18" s="286">
        <f t="shared" si="12"/>
        <v>0</v>
      </c>
      <c r="AF18" s="298">
        <f>G113*R101</f>
        <v>538.3</v>
      </c>
      <c r="AG18" s="291">
        <f>O101+AE18+AF18</f>
        <v>6997.9000000000015</v>
      </c>
      <c r="AH18" s="259">
        <f t="shared" si="14"/>
        <v>101</v>
      </c>
      <c r="AI18" s="259">
        <f t="shared" si="15"/>
        <v>113</v>
      </c>
      <c r="AJ18" s="259">
        <f t="shared" si="16"/>
        <v>2000</v>
      </c>
      <c r="AK18" s="321">
        <f>O101</f>
        <v>6459.600000000001</v>
      </c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</row>
    <row r="19" spans="1:49" ht="15">
      <c r="A19" s="284" t="s">
        <v>189</v>
      </c>
      <c r="B19" s="220"/>
      <c r="C19" s="285">
        <f t="shared" si="2"/>
        <v>0</v>
      </c>
      <c r="D19" s="285">
        <f t="shared" si="2"/>
        <v>0</v>
      </c>
      <c r="E19" s="184">
        <f t="shared" si="1"/>
        <v>0</v>
      </c>
      <c r="F19" s="285">
        <f t="shared" si="13"/>
        <v>538.3</v>
      </c>
      <c r="G19" s="184">
        <f t="shared" si="3"/>
        <v>538.3</v>
      </c>
      <c r="H19" s="285">
        <f t="shared" si="4"/>
        <v>0</v>
      </c>
      <c r="I19" s="324">
        <f t="shared" si="4"/>
        <v>18</v>
      </c>
      <c r="J19" s="324">
        <f t="shared" si="4"/>
        <v>18</v>
      </c>
      <c r="K19" s="259"/>
      <c r="L19" s="282">
        <f t="shared" si="5"/>
        <v>2001</v>
      </c>
      <c r="M19" s="285"/>
      <c r="N19" s="264"/>
      <c r="O19" s="184">
        <f t="shared" si="6"/>
        <v>538.3</v>
      </c>
      <c r="P19" s="184">
        <f t="shared" si="7"/>
        <v>0</v>
      </c>
      <c r="Q19" s="184">
        <f t="shared" si="8"/>
        <v>0</v>
      </c>
      <c r="R19" s="297"/>
      <c r="S19" s="264"/>
      <c r="T19" s="282">
        <v>2010</v>
      </c>
      <c r="U19" s="298">
        <f>G243*R231</f>
        <v>538.3</v>
      </c>
      <c r="V19" s="298">
        <f>G239*R231</f>
        <v>538.3</v>
      </c>
      <c r="W19" s="286">
        <f>IF(U19&gt;=V19,U19,V19)</f>
        <v>538.3</v>
      </c>
      <c r="X19" s="293"/>
      <c r="Y19" s="259"/>
      <c r="Z19" s="282">
        <f t="shared" si="9"/>
        <v>2001</v>
      </c>
      <c r="AA19" s="286">
        <f t="shared" si="10"/>
        <v>0</v>
      </c>
      <c r="AB19" s="286">
        <f>Q114</f>
        <v>0</v>
      </c>
      <c r="AC19" s="286">
        <f t="shared" si="11"/>
        <v>0</v>
      </c>
      <c r="AD19" s="286">
        <f>P114</f>
        <v>0</v>
      </c>
      <c r="AE19" s="286">
        <f t="shared" si="12"/>
        <v>0</v>
      </c>
      <c r="AF19" s="298">
        <f>G126*R114</f>
        <v>538.3</v>
      </c>
      <c r="AG19" s="291">
        <f>O114+AE19+AF19</f>
        <v>6997.9000000000015</v>
      </c>
      <c r="AH19" s="259">
        <f t="shared" si="14"/>
        <v>114</v>
      </c>
      <c r="AI19" s="259">
        <f t="shared" si="15"/>
        <v>126</v>
      </c>
      <c r="AJ19" s="259">
        <f t="shared" si="16"/>
        <v>2001</v>
      </c>
      <c r="AK19" s="321">
        <f>O114</f>
        <v>6459.600000000001</v>
      </c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</row>
    <row r="20" spans="1:49" ht="12.75">
      <c r="A20" s="284" t="s">
        <v>190</v>
      </c>
      <c r="B20" s="220"/>
      <c r="C20" s="285">
        <f t="shared" si="2"/>
        <v>0</v>
      </c>
      <c r="D20" s="285">
        <f t="shared" si="2"/>
        <v>0</v>
      </c>
      <c r="E20" s="184">
        <f t="shared" si="1"/>
        <v>0</v>
      </c>
      <c r="F20" s="285">
        <f t="shared" si="13"/>
        <v>538.3</v>
      </c>
      <c r="G20" s="184">
        <f t="shared" si="3"/>
        <v>538.3</v>
      </c>
      <c r="H20" s="285">
        <f t="shared" si="4"/>
        <v>0</v>
      </c>
      <c r="I20" s="324">
        <f t="shared" si="4"/>
        <v>18</v>
      </c>
      <c r="J20" s="324">
        <f t="shared" si="4"/>
        <v>18</v>
      </c>
      <c r="K20" s="259"/>
      <c r="L20" s="282">
        <f t="shared" si="5"/>
        <v>2002</v>
      </c>
      <c r="M20" s="285"/>
      <c r="N20" s="20"/>
      <c r="O20" s="184">
        <f t="shared" si="6"/>
        <v>538.3</v>
      </c>
      <c r="P20" s="184">
        <f t="shared" si="7"/>
        <v>0</v>
      </c>
      <c r="Q20" s="184">
        <f t="shared" si="8"/>
        <v>0</v>
      </c>
      <c r="R20" s="297"/>
      <c r="S20" s="20"/>
      <c r="T20" s="282">
        <f aca="true" t="shared" si="17" ref="T20:T29">T19+1</f>
        <v>2011</v>
      </c>
      <c r="U20" s="298">
        <f>G256*R244</f>
        <v>538.3</v>
      </c>
      <c r="V20" s="298">
        <f>G252*R244</f>
        <v>538.3</v>
      </c>
      <c r="W20" s="286">
        <f aca="true" t="shared" si="18" ref="W20:W29">IF(U20&gt;=V20,U20,V20)</f>
        <v>538.3</v>
      </c>
      <c r="X20" s="293"/>
      <c r="Y20" s="259"/>
      <c r="Z20" s="282">
        <f t="shared" si="9"/>
        <v>2002</v>
      </c>
      <c r="AA20" s="286">
        <f t="shared" si="10"/>
        <v>0</v>
      </c>
      <c r="AB20" s="286">
        <f>Q127</f>
        <v>0</v>
      </c>
      <c r="AC20" s="286">
        <f t="shared" si="11"/>
        <v>0</v>
      </c>
      <c r="AD20" s="286">
        <f>P127</f>
        <v>0</v>
      </c>
      <c r="AE20" s="286">
        <f t="shared" si="12"/>
        <v>0</v>
      </c>
      <c r="AF20" s="298">
        <f>G139*R127</f>
        <v>538.3</v>
      </c>
      <c r="AG20" s="291">
        <f>O127+AE20+AF20</f>
        <v>6997.9000000000015</v>
      </c>
      <c r="AH20" s="259">
        <f t="shared" si="14"/>
        <v>127</v>
      </c>
      <c r="AI20" s="259">
        <f t="shared" si="15"/>
        <v>139</v>
      </c>
      <c r="AJ20" s="259">
        <f t="shared" si="16"/>
        <v>2002</v>
      </c>
      <c r="AK20" s="321">
        <f>O127</f>
        <v>6459.600000000001</v>
      </c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</row>
    <row r="21" spans="1:49" ht="15">
      <c r="A21" s="284" t="s">
        <v>191</v>
      </c>
      <c r="B21" s="220"/>
      <c r="C21" s="285">
        <f t="shared" si="2"/>
        <v>0</v>
      </c>
      <c r="D21" s="285">
        <f t="shared" si="2"/>
        <v>0</v>
      </c>
      <c r="E21" s="184">
        <f t="shared" si="1"/>
        <v>0</v>
      </c>
      <c r="F21" s="285">
        <f t="shared" si="13"/>
        <v>538.3</v>
      </c>
      <c r="G21" s="184">
        <f t="shared" si="3"/>
        <v>538.3</v>
      </c>
      <c r="H21" s="285">
        <f t="shared" si="4"/>
        <v>0</v>
      </c>
      <c r="I21" s="324">
        <f t="shared" si="4"/>
        <v>18</v>
      </c>
      <c r="J21" s="324">
        <f t="shared" si="4"/>
        <v>18</v>
      </c>
      <c r="K21" s="259"/>
      <c r="L21" s="282">
        <f t="shared" si="5"/>
        <v>2003</v>
      </c>
      <c r="M21" s="285"/>
      <c r="N21" s="264"/>
      <c r="O21" s="184">
        <f t="shared" si="6"/>
        <v>538.3</v>
      </c>
      <c r="P21" s="184">
        <f t="shared" si="7"/>
        <v>0</v>
      </c>
      <c r="Q21" s="184">
        <f t="shared" si="8"/>
        <v>0</v>
      </c>
      <c r="R21" s="297"/>
      <c r="S21" s="264"/>
      <c r="T21" s="282">
        <f t="shared" si="17"/>
        <v>2012</v>
      </c>
      <c r="U21" s="298">
        <f>G269*R257</f>
        <v>538.3</v>
      </c>
      <c r="V21" s="298">
        <f>G265*R257</f>
        <v>538.3</v>
      </c>
      <c r="W21" s="286">
        <f t="shared" si="18"/>
        <v>538.3</v>
      </c>
      <c r="X21" s="293"/>
      <c r="Y21" s="259"/>
      <c r="Z21" s="282">
        <f t="shared" si="9"/>
        <v>2003</v>
      </c>
      <c r="AA21" s="286">
        <f t="shared" si="10"/>
        <v>0</v>
      </c>
      <c r="AB21" s="286">
        <f>Q140</f>
        <v>0</v>
      </c>
      <c r="AC21" s="286">
        <f t="shared" si="11"/>
        <v>0</v>
      </c>
      <c r="AD21" s="286">
        <f>P140</f>
        <v>0</v>
      </c>
      <c r="AE21" s="286">
        <f t="shared" si="12"/>
        <v>0</v>
      </c>
      <c r="AF21" s="298">
        <f>G152*R140</f>
        <v>538.3</v>
      </c>
      <c r="AG21" s="291">
        <f>O140+AE21+AF21</f>
        <v>6997.9000000000015</v>
      </c>
      <c r="AH21" s="259">
        <f t="shared" si="14"/>
        <v>140</v>
      </c>
      <c r="AI21" s="259">
        <f t="shared" si="15"/>
        <v>152</v>
      </c>
      <c r="AJ21" s="259">
        <f t="shared" si="16"/>
        <v>2003</v>
      </c>
      <c r="AK21" s="321">
        <f>O140</f>
        <v>6459.600000000001</v>
      </c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</row>
    <row r="22" spans="1:49" ht="12.75">
      <c r="A22" s="284" t="s">
        <v>192</v>
      </c>
      <c r="B22" s="220"/>
      <c r="C22" s="285">
        <f t="shared" si="2"/>
        <v>0</v>
      </c>
      <c r="D22" s="285">
        <f t="shared" si="2"/>
        <v>0</v>
      </c>
      <c r="E22" s="184">
        <f t="shared" si="1"/>
        <v>0</v>
      </c>
      <c r="F22" s="285">
        <f t="shared" si="13"/>
        <v>538.3</v>
      </c>
      <c r="G22" s="184">
        <f t="shared" si="3"/>
        <v>538.3</v>
      </c>
      <c r="H22" s="285">
        <f t="shared" si="4"/>
        <v>0</v>
      </c>
      <c r="I22" s="324">
        <f t="shared" si="4"/>
        <v>18</v>
      </c>
      <c r="J22" s="324">
        <f t="shared" si="4"/>
        <v>18</v>
      </c>
      <c r="K22" s="259"/>
      <c r="L22" s="282">
        <f t="shared" si="5"/>
        <v>2004</v>
      </c>
      <c r="M22" s="285"/>
      <c r="N22" s="20"/>
      <c r="O22" s="184">
        <f t="shared" si="6"/>
        <v>538.3</v>
      </c>
      <c r="P22" s="184">
        <f t="shared" si="7"/>
        <v>0</v>
      </c>
      <c r="Q22" s="184">
        <f t="shared" si="8"/>
        <v>0</v>
      </c>
      <c r="R22" s="297"/>
      <c r="S22" s="20"/>
      <c r="T22" s="282">
        <f t="shared" si="17"/>
        <v>2013</v>
      </c>
      <c r="U22" s="298">
        <f>G282*R270</f>
        <v>538.3</v>
      </c>
      <c r="V22" s="298">
        <f>G278*R270</f>
        <v>538.3</v>
      </c>
      <c r="W22" s="286">
        <f t="shared" si="18"/>
        <v>538.3</v>
      </c>
      <c r="X22" s="293"/>
      <c r="Y22" s="259"/>
      <c r="Z22" s="282">
        <f t="shared" si="9"/>
        <v>2004</v>
      </c>
      <c r="AA22" s="286">
        <f t="shared" si="10"/>
        <v>0</v>
      </c>
      <c r="AB22" s="286">
        <f>Q153</f>
        <v>0</v>
      </c>
      <c r="AC22" s="286">
        <f t="shared" si="11"/>
        <v>0</v>
      </c>
      <c r="AD22" s="286">
        <f>P153</f>
        <v>0</v>
      </c>
      <c r="AE22" s="286">
        <f t="shared" si="12"/>
        <v>0</v>
      </c>
      <c r="AF22" s="298">
        <f>G165*R153</f>
        <v>538.3</v>
      </c>
      <c r="AG22" s="291">
        <f>O153+AE22+AF22</f>
        <v>6997.9000000000015</v>
      </c>
      <c r="AH22" s="259">
        <f t="shared" si="14"/>
        <v>153</v>
      </c>
      <c r="AI22" s="259">
        <f t="shared" si="15"/>
        <v>165</v>
      </c>
      <c r="AJ22" s="259">
        <f t="shared" si="16"/>
        <v>2004</v>
      </c>
      <c r="AK22" s="321">
        <f>O153</f>
        <v>6459.600000000001</v>
      </c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</row>
    <row r="23" spans="1:49" ht="15">
      <c r="A23" s="282">
        <f>A10+1</f>
        <v>1994</v>
      </c>
      <c r="B23" s="28"/>
      <c r="C23" s="28"/>
      <c r="D23" s="28"/>
      <c r="E23" s="306">
        <f>SUM(E24:E35)</f>
        <v>0</v>
      </c>
      <c r="F23" s="287"/>
      <c r="G23" s="283">
        <f>SUM(G24:G35)</f>
        <v>6459.600000000001</v>
      </c>
      <c r="H23" s="309">
        <f>SUM(H24:H35)</f>
        <v>0</v>
      </c>
      <c r="I23" s="326">
        <f>SUM(I24:I35)</f>
        <v>216</v>
      </c>
      <c r="J23" s="326">
        <f>SUM(J24:J35)</f>
        <v>216</v>
      </c>
      <c r="K23" s="259"/>
      <c r="L23" s="282">
        <f t="shared" si="5"/>
        <v>2005</v>
      </c>
      <c r="M23" s="285"/>
      <c r="N23" s="264"/>
      <c r="O23" s="136">
        <f>SUM(O24:O35)</f>
        <v>6459.600000000001</v>
      </c>
      <c r="P23" s="136">
        <f>SUM(P24:P35)</f>
        <v>0</v>
      </c>
      <c r="Q23" s="136">
        <f>SUM(Q24:Q35)</f>
        <v>0</v>
      </c>
      <c r="R23" s="136">
        <f>J23/I23</f>
        <v>1</v>
      </c>
      <c r="S23" s="264"/>
      <c r="T23" s="282">
        <f t="shared" si="17"/>
        <v>2014</v>
      </c>
      <c r="U23" s="298">
        <f>G295*R283</f>
        <v>538.3</v>
      </c>
      <c r="V23" s="298">
        <f>G291*R283</f>
        <v>538.3</v>
      </c>
      <c r="W23" s="286">
        <f t="shared" si="18"/>
        <v>538.3</v>
      </c>
      <c r="X23" s="293"/>
      <c r="Y23" s="259"/>
      <c r="Z23" s="282">
        <f t="shared" si="9"/>
        <v>2005</v>
      </c>
      <c r="AA23" s="286">
        <f t="shared" si="10"/>
        <v>0</v>
      </c>
      <c r="AB23" s="286">
        <f>Q166</f>
        <v>0</v>
      </c>
      <c r="AC23" s="286">
        <f t="shared" si="11"/>
        <v>0</v>
      </c>
      <c r="AD23" s="286">
        <f>P166</f>
        <v>0</v>
      </c>
      <c r="AE23" s="286">
        <f t="shared" si="12"/>
        <v>0</v>
      </c>
      <c r="AF23" s="298">
        <f>G178*R166</f>
        <v>538.3</v>
      </c>
      <c r="AG23" s="291">
        <f>O166+AE23+AF23</f>
        <v>6997.9000000000015</v>
      </c>
      <c r="AH23" s="259">
        <f t="shared" si="14"/>
        <v>166</v>
      </c>
      <c r="AI23" s="259">
        <f t="shared" si="15"/>
        <v>178</v>
      </c>
      <c r="AJ23" s="259">
        <f t="shared" si="16"/>
        <v>2005</v>
      </c>
      <c r="AK23" s="321">
        <f>O166</f>
        <v>6459.600000000001</v>
      </c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</row>
    <row r="24" spans="1:49" ht="12.75">
      <c r="A24" s="284" t="s">
        <v>181</v>
      </c>
      <c r="B24" s="220"/>
      <c r="C24" s="285">
        <f>C22</f>
        <v>0</v>
      </c>
      <c r="D24" s="285">
        <f>D22</f>
        <v>0</v>
      </c>
      <c r="E24" s="184">
        <f t="shared" si="1"/>
        <v>0</v>
      </c>
      <c r="F24" s="285">
        <f>F22</f>
        <v>538.3</v>
      </c>
      <c r="G24" s="184">
        <f aca="true" t="shared" si="19" ref="G24:G35">SUM(E24:F24)</f>
        <v>538.3</v>
      </c>
      <c r="H24" s="285">
        <f>H22</f>
        <v>0</v>
      </c>
      <c r="I24" s="324">
        <f>I22</f>
        <v>18</v>
      </c>
      <c r="J24" s="324">
        <f>J22</f>
        <v>18</v>
      </c>
      <c r="K24" s="259"/>
      <c r="L24" s="282">
        <f t="shared" si="5"/>
        <v>2006</v>
      </c>
      <c r="M24" s="285"/>
      <c r="N24" s="20"/>
      <c r="O24" s="184">
        <f>G24/I24*J24</f>
        <v>538.3</v>
      </c>
      <c r="P24" s="184">
        <f>E24*0.18/I24*J24</f>
        <v>0</v>
      </c>
      <c r="Q24" s="184">
        <f>H24/I24*J24</f>
        <v>0</v>
      </c>
      <c r="R24" s="297"/>
      <c r="S24" s="20"/>
      <c r="T24" s="282">
        <f t="shared" si="17"/>
        <v>2015</v>
      </c>
      <c r="U24" s="298">
        <f>G308*R296</f>
        <v>0</v>
      </c>
      <c r="V24" s="298">
        <f>G304*R296</f>
        <v>538.3</v>
      </c>
      <c r="W24" s="286">
        <f t="shared" si="18"/>
        <v>538.3</v>
      </c>
      <c r="X24" s="293"/>
      <c r="Y24" s="259"/>
      <c r="Z24" s="282">
        <f t="shared" si="9"/>
        <v>2006</v>
      </c>
      <c r="AA24" s="286">
        <f t="shared" si="10"/>
        <v>0</v>
      </c>
      <c r="AB24" s="286">
        <f>Q179</f>
        <v>0</v>
      </c>
      <c r="AC24" s="286">
        <f t="shared" si="11"/>
        <v>0</v>
      </c>
      <c r="AD24" s="286">
        <f>P179</f>
        <v>0</v>
      </c>
      <c r="AE24" s="286">
        <f t="shared" si="12"/>
        <v>0</v>
      </c>
      <c r="AF24" s="298">
        <f>G191*R179</f>
        <v>538.3</v>
      </c>
      <c r="AG24" s="291">
        <f>O179+AE24+AF24</f>
        <v>6997.9000000000015</v>
      </c>
      <c r="AH24" s="259">
        <f t="shared" si="14"/>
        <v>179</v>
      </c>
      <c r="AI24" s="259">
        <f t="shared" si="15"/>
        <v>191</v>
      </c>
      <c r="AJ24" s="259">
        <f t="shared" si="16"/>
        <v>2006</v>
      </c>
      <c r="AK24" s="321">
        <f>O179</f>
        <v>6459.600000000001</v>
      </c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</row>
    <row r="25" spans="1:49" ht="15">
      <c r="A25" s="284" t="s">
        <v>182</v>
      </c>
      <c r="B25" s="220"/>
      <c r="C25" s="285">
        <f aca="true" t="shared" si="20" ref="C25:D35">C24</f>
        <v>0</v>
      </c>
      <c r="D25" s="285">
        <f t="shared" si="20"/>
        <v>0</v>
      </c>
      <c r="E25" s="184">
        <f t="shared" si="1"/>
        <v>0</v>
      </c>
      <c r="F25" s="285">
        <f aca="true" t="shared" si="21" ref="F25:F35">F24</f>
        <v>538.3</v>
      </c>
      <c r="G25" s="184">
        <f t="shared" si="19"/>
        <v>538.3</v>
      </c>
      <c r="H25" s="285">
        <f aca="true" t="shared" si="22" ref="H25:J35">H24</f>
        <v>0</v>
      </c>
      <c r="I25" s="324">
        <f t="shared" si="22"/>
        <v>18</v>
      </c>
      <c r="J25" s="324">
        <f t="shared" si="22"/>
        <v>18</v>
      </c>
      <c r="K25" s="259"/>
      <c r="L25" s="282">
        <f t="shared" si="5"/>
        <v>2007</v>
      </c>
      <c r="M25" s="285"/>
      <c r="N25" s="264"/>
      <c r="O25" s="184">
        <f aca="true" t="shared" si="23" ref="O25:O35">G25/I25*J25</f>
        <v>538.3</v>
      </c>
      <c r="P25" s="184">
        <f aca="true" t="shared" si="24" ref="P25:P35">E25*0.18/I25*J25</f>
        <v>0</v>
      </c>
      <c r="Q25" s="184">
        <f aca="true" t="shared" si="25" ref="Q25:Q35">H25/I25*J25</f>
        <v>0</v>
      </c>
      <c r="R25" s="297"/>
      <c r="S25" s="264"/>
      <c r="T25" s="282">
        <f t="shared" si="17"/>
        <v>2016</v>
      </c>
      <c r="U25" s="298">
        <f>G321*R309</f>
        <v>0</v>
      </c>
      <c r="V25" s="298">
        <f>G317*R309</f>
        <v>0</v>
      </c>
      <c r="W25" s="286">
        <f t="shared" si="18"/>
        <v>0</v>
      </c>
      <c r="X25" s="293"/>
      <c r="Y25" s="259"/>
      <c r="Z25" s="282">
        <f t="shared" si="9"/>
        <v>2007</v>
      </c>
      <c r="AA25" s="286">
        <f t="shared" si="10"/>
        <v>0</v>
      </c>
      <c r="AB25" s="286">
        <f>Q192</f>
        <v>0</v>
      </c>
      <c r="AC25" s="286">
        <f t="shared" si="11"/>
        <v>0</v>
      </c>
      <c r="AD25" s="286">
        <f>P192</f>
        <v>0</v>
      </c>
      <c r="AE25" s="286">
        <f t="shared" si="12"/>
        <v>0</v>
      </c>
      <c r="AF25" s="298">
        <f>G204*R192</f>
        <v>538.3</v>
      </c>
      <c r="AG25" s="291">
        <f>O192+AE25+AF25</f>
        <v>6997.9000000000015</v>
      </c>
      <c r="AH25" s="259">
        <f t="shared" si="14"/>
        <v>192</v>
      </c>
      <c r="AI25" s="259">
        <f t="shared" si="15"/>
        <v>204</v>
      </c>
      <c r="AJ25" s="259">
        <f t="shared" si="16"/>
        <v>2007</v>
      </c>
      <c r="AK25" s="321">
        <f>O192</f>
        <v>6459.600000000001</v>
      </c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</row>
    <row r="26" spans="1:49" ht="12.75">
      <c r="A26" s="284" t="s">
        <v>183</v>
      </c>
      <c r="B26" s="220"/>
      <c r="C26" s="285">
        <f t="shared" si="20"/>
        <v>0</v>
      </c>
      <c r="D26" s="285">
        <f t="shared" si="20"/>
        <v>0</v>
      </c>
      <c r="E26" s="184">
        <f t="shared" si="1"/>
        <v>0</v>
      </c>
      <c r="F26" s="285">
        <f t="shared" si="21"/>
        <v>538.3</v>
      </c>
      <c r="G26" s="184">
        <f t="shared" si="19"/>
        <v>538.3</v>
      </c>
      <c r="H26" s="285">
        <f t="shared" si="22"/>
        <v>0</v>
      </c>
      <c r="I26" s="324">
        <f t="shared" si="22"/>
        <v>18</v>
      </c>
      <c r="J26" s="324">
        <f t="shared" si="22"/>
        <v>18</v>
      </c>
      <c r="K26" s="259"/>
      <c r="L26" s="282">
        <f t="shared" si="5"/>
        <v>2008</v>
      </c>
      <c r="M26" s="285"/>
      <c r="N26" s="20"/>
      <c r="O26" s="184">
        <f t="shared" si="23"/>
        <v>538.3</v>
      </c>
      <c r="P26" s="184">
        <f t="shared" si="24"/>
        <v>0</v>
      </c>
      <c r="Q26" s="184">
        <f t="shared" si="25"/>
        <v>0</v>
      </c>
      <c r="R26" s="297"/>
      <c r="S26" s="20"/>
      <c r="T26" s="282">
        <f t="shared" si="17"/>
        <v>2017</v>
      </c>
      <c r="U26" s="298">
        <f>G334*R322</f>
        <v>0</v>
      </c>
      <c r="V26" s="298">
        <f>G330*R322</f>
        <v>0</v>
      </c>
      <c r="W26" s="286">
        <f t="shared" si="18"/>
        <v>0</v>
      </c>
      <c r="X26" s="293"/>
      <c r="Y26" s="259"/>
      <c r="Z26" s="282">
        <f t="shared" si="9"/>
        <v>2008</v>
      </c>
      <c r="AA26" s="286">
        <f t="shared" si="10"/>
        <v>0</v>
      </c>
      <c r="AB26" s="286">
        <f>Q205</f>
        <v>0</v>
      </c>
      <c r="AC26" s="286">
        <f t="shared" si="11"/>
        <v>0</v>
      </c>
      <c r="AD26" s="286">
        <f>P205</f>
        <v>0</v>
      </c>
      <c r="AE26" s="286">
        <f t="shared" si="12"/>
        <v>0</v>
      </c>
      <c r="AF26" s="298">
        <f>G217*R205</f>
        <v>538.3</v>
      </c>
      <c r="AG26" s="291">
        <f>O205+AE26+AF26</f>
        <v>6997.9000000000015</v>
      </c>
      <c r="AH26" s="259">
        <f t="shared" si="14"/>
        <v>205</v>
      </c>
      <c r="AI26" s="259">
        <f t="shared" si="15"/>
        <v>217</v>
      </c>
      <c r="AJ26" s="259">
        <f t="shared" si="16"/>
        <v>2008</v>
      </c>
      <c r="AK26" s="321">
        <f>O205</f>
        <v>6459.600000000001</v>
      </c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</row>
    <row r="27" spans="1:49" ht="15">
      <c r="A27" s="284" t="s">
        <v>184</v>
      </c>
      <c r="B27" s="220"/>
      <c r="C27" s="285">
        <f t="shared" si="20"/>
        <v>0</v>
      </c>
      <c r="D27" s="285">
        <f t="shared" si="20"/>
        <v>0</v>
      </c>
      <c r="E27" s="184">
        <f t="shared" si="1"/>
        <v>0</v>
      </c>
      <c r="F27" s="285">
        <f t="shared" si="21"/>
        <v>538.3</v>
      </c>
      <c r="G27" s="184">
        <f t="shared" si="19"/>
        <v>538.3</v>
      </c>
      <c r="H27" s="285">
        <f t="shared" si="22"/>
        <v>0</v>
      </c>
      <c r="I27" s="324">
        <f t="shared" si="22"/>
        <v>18</v>
      </c>
      <c r="J27" s="324">
        <f t="shared" si="22"/>
        <v>18</v>
      </c>
      <c r="K27" s="259"/>
      <c r="L27" s="282">
        <f t="shared" si="5"/>
        <v>2009</v>
      </c>
      <c r="M27" s="285"/>
      <c r="N27" s="264"/>
      <c r="O27" s="184">
        <f t="shared" si="23"/>
        <v>538.3</v>
      </c>
      <c r="P27" s="184">
        <f t="shared" si="24"/>
        <v>0</v>
      </c>
      <c r="Q27" s="184">
        <f t="shared" si="25"/>
        <v>0</v>
      </c>
      <c r="R27" s="297"/>
      <c r="S27" s="264"/>
      <c r="T27" s="282">
        <f t="shared" si="17"/>
        <v>2018</v>
      </c>
      <c r="U27" s="298">
        <f>G347*R335</f>
        <v>0</v>
      </c>
      <c r="V27" s="298">
        <f>G343*R335</f>
        <v>0</v>
      </c>
      <c r="W27" s="286">
        <f t="shared" si="18"/>
        <v>0</v>
      </c>
      <c r="X27" s="293"/>
      <c r="Y27" s="259"/>
      <c r="Z27" s="282">
        <f t="shared" si="9"/>
        <v>2009</v>
      </c>
      <c r="AA27" s="286">
        <f t="shared" si="10"/>
        <v>0</v>
      </c>
      <c r="AB27" s="286">
        <f>Q218</f>
        <v>0</v>
      </c>
      <c r="AC27" s="286">
        <f t="shared" si="11"/>
        <v>0</v>
      </c>
      <c r="AD27" s="286">
        <f>P218</f>
        <v>0</v>
      </c>
      <c r="AE27" s="286">
        <f t="shared" si="12"/>
        <v>0</v>
      </c>
      <c r="AF27" s="298">
        <f>G230*R218</f>
        <v>538.3</v>
      </c>
      <c r="AG27" s="291">
        <f>O218+AE27+AF27</f>
        <v>6997.9000000000015</v>
      </c>
      <c r="AH27" s="259">
        <f t="shared" si="14"/>
        <v>218</v>
      </c>
      <c r="AI27" s="259">
        <f t="shared" si="15"/>
        <v>230</v>
      </c>
      <c r="AJ27" s="259">
        <f t="shared" si="16"/>
        <v>2009</v>
      </c>
      <c r="AK27" s="321">
        <f>O218</f>
        <v>6459.600000000001</v>
      </c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</row>
    <row r="28" spans="1:49" ht="12.75">
      <c r="A28" s="284" t="s">
        <v>185</v>
      </c>
      <c r="B28" s="220"/>
      <c r="C28" s="285">
        <f t="shared" si="20"/>
        <v>0</v>
      </c>
      <c r="D28" s="285">
        <f t="shared" si="20"/>
        <v>0</v>
      </c>
      <c r="E28" s="184">
        <f t="shared" si="1"/>
        <v>0</v>
      </c>
      <c r="F28" s="285">
        <f t="shared" si="21"/>
        <v>538.3</v>
      </c>
      <c r="G28" s="184">
        <f t="shared" si="19"/>
        <v>538.3</v>
      </c>
      <c r="H28" s="285">
        <f t="shared" si="22"/>
        <v>0</v>
      </c>
      <c r="I28" s="324">
        <f t="shared" si="22"/>
        <v>18</v>
      </c>
      <c r="J28" s="324">
        <f t="shared" si="22"/>
        <v>18</v>
      </c>
      <c r="K28" s="259"/>
      <c r="L28" s="282">
        <f t="shared" si="5"/>
        <v>2010</v>
      </c>
      <c r="M28" s="285"/>
      <c r="N28" s="20"/>
      <c r="O28" s="184">
        <f t="shared" si="23"/>
        <v>538.3</v>
      </c>
      <c r="P28" s="184">
        <f t="shared" si="24"/>
        <v>0</v>
      </c>
      <c r="Q28" s="184">
        <f t="shared" si="25"/>
        <v>0</v>
      </c>
      <c r="R28" s="297"/>
      <c r="S28" s="20"/>
      <c r="T28" s="282">
        <f t="shared" si="17"/>
        <v>2019</v>
      </c>
      <c r="U28" s="298">
        <f>G360*R348</f>
        <v>0</v>
      </c>
      <c r="V28" s="298">
        <f>G356*R348</f>
        <v>0</v>
      </c>
      <c r="W28" s="286">
        <f t="shared" si="18"/>
        <v>0</v>
      </c>
      <c r="X28" s="293"/>
      <c r="Y28" s="259"/>
      <c r="Z28" s="282">
        <f t="shared" si="9"/>
        <v>2010</v>
      </c>
      <c r="AA28" s="286">
        <f t="shared" si="10"/>
        <v>0</v>
      </c>
      <c r="AB28" s="286">
        <f>Q231</f>
        <v>0</v>
      </c>
      <c r="AC28" s="286">
        <f t="shared" si="11"/>
        <v>0</v>
      </c>
      <c r="AD28" s="286">
        <f>P231</f>
        <v>0</v>
      </c>
      <c r="AE28" s="286">
        <f t="shared" si="12"/>
        <v>0</v>
      </c>
      <c r="AF28" s="286">
        <f>W19</f>
        <v>538.3</v>
      </c>
      <c r="AG28" s="291">
        <f>O231+AE28+AF28</f>
        <v>6997.9000000000015</v>
      </c>
      <c r="AH28" s="259">
        <f t="shared" si="14"/>
        <v>231</v>
      </c>
      <c r="AI28" s="259">
        <f t="shared" si="15"/>
        <v>243</v>
      </c>
      <c r="AJ28" s="259">
        <f t="shared" si="16"/>
        <v>2010</v>
      </c>
      <c r="AK28" s="321">
        <f>O231</f>
        <v>6459.600000000001</v>
      </c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</row>
    <row r="29" spans="1:49" ht="15">
      <c r="A29" s="284" t="s">
        <v>186</v>
      </c>
      <c r="B29" s="220"/>
      <c r="C29" s="285">
        <f t="shared" si="20"/>
        <v>0</v>
      </c>
      <c r="D29" s="285">
        <f t="shared" si="20"/>
        <v>0</v>
      </c>
      <c r="E29" s="184">
        <f t="shared" si="1"/>
        <v>0</v>
      </c>
      <c r="F29" s="285">
        <f t="shared" si="21"/>
        <v>538.3</v>
      </c>
      <c r="G29" s="184">
        <f t="shared" si="19"/>
        <v>538.3</v>
      </c>
      <c r="H29" s="285">
        <f t="shared" si="22"/>
        <v>0</v>
      </c>
      <c r="I29" s="324">
        <f t="shared" si="22"/>
        <v>18</v>
      </c>
      <c r="J29" s="324">
        <f t="shared" si="22"/>
        <v>18</v>
      </c>
      <c r="K29" s="259"/>
      <c r="L29" s="282">
        <f t="shared" si="5"/>
        <v>2011</v>
      </c>
      <c r="M29" s="285"/>
      <c r="N29" s="264"/>
      <c r="O29" s="184">
        <f t="shared" si="23"/>
        <v>538.3</v>
      </c>
      <c r="P29" s="184">
        <f t="shared" si="24"/>
        <v>0</v>
      </c>
      <c r="Q29" s="184">
        <f t="shared" si="25"/>
        <v>0</v>
      </c>
      <c r="R29" s="297"/>
      <c r="S29" s="264"/>
      <c r="T29" s="282">
        <f t="shared" si="17"/>
        <v>2020</v>
      </c>
      <c r="U29" s="298">
        <f>G373*R361</f>
        <v>0</v>
      </c>
      <c r="V29" s="298">
        <f>G369*R361</f>
        <v>0</v>
      </c>
      <c r="W29" s="286">
        <f t="shared" si="18"/>
        <v>0</v>
      </c>
      <c r="X29" s="293"/>
      <c r="Y29" s="259"/>
      <c r="Z29" s="282">
        <f t="shared" si="9"/>
        <v>2011</v>
      </c>
      <c r="AA29" s="286">
        <f t="shared" si="10"/>
        <v>0</v>
      </c>
      <c r="AB29" s="286">
        <f>Q244</f>
        <v>0</v>
      </c>
      <c r="AC29" s="286">
        <f t="shared" si="11"/>
        <v>0</v>
      </c>
      <c r="AD29" s="286">
        <f>P244</f>
        <v>0</v>
      </c>
      <c r="AE29" s="286">
        <f t="shared" si="12"/>
        <v>0</v>
      </c>
      <c r="AF29" s="286">
        <f aca="true" t="shared" si="26" ref="AF29:AF38">W20</f>
        <v>538.3</v>
      </c>
      <c r="AG29" s="291">
        <f>O244+AE29+AF29</f>
        <v>6997.9000000000015</v>
      </c>
      <c r="AH29" s="259">
        <f t="shared" si="14"/>
        <v>244</v>
      </c>
      <c r="AI29" s="259">
        <f t="shared" si="15"/>
        <v>256</v>
      </c>
      <c r="AJ29" s="259">
        <f t="shared" si="16"/>
        <v>2011</v>
      </c>
      <c r="AK29" s="321">
        <f>O244</f>
        <v>6459.600000000001</v>
      </c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</row>
    <row r="30" spans="1:49" ht="12.75">
      <c r="A30" s="284" t="s">
        <v>187</v>
      </c>
      <c r="B30" s="220"/>
      <c r="C30" s="285">
        <f t="shared" si="20"/>
        <v>0</v>
      </c>
      <c r="D30" s="285">
        <f t="shared" si="20"/>
        <v>0</v>
      </c>
      <c r="E30" s="184">
        <f t="shared" si="1"/>
        <v>0</v>
      </c>
      <c r="F30" s="285">
        <f t="shared" si="21"/>
        <v>538.3</v>
      </c>
      <c r="G30" s="184">
        <f t="shared" si="19"/>
        <v>538.3</v>
      </c>
      <c r="H30" s="285">
        <f t="shared" si="22"/>
        <v>0</v>
      </c>
      <c r="I30" s="324">
        <f t="shared" si="22"/>
        <v>18</v>
      </c>
      <c r="J30" s="324">
        <f t="shared" si="22"/>
        <v>18</v>
      </c>
      <c r="K30" s="259"/>
      <c r="L30" s="282">
        <f t="shared" si="5"/>
        <v>2012</v>
      </c>
      <c r="M30" s="285"/>
      <c r="N30" s="20"/>
      <c r="O30" s="184">
        <f t="shared" si="23"/>
        <v>538.3</v>
      </c>
      <c r="P30" s="184">
        <f t="shared" si="24"/>
        <v>0</v>
      </c>
      <c r="Q30" s="184">
        <f t="shared" si="25"/>
        <v>0</v>
      </c>
      <c r="R30" s="297"/>
      <c r="S30" s="20"/>
      <c r="T30" s="293"/>
      <c r="U30" s="293"/>
      <c r="V30" s="293"/>
      <c r="W30" s="293"/>
      <c r="X30" s="293"/>
      <c r="Y30" s="259"/>
      <c r="Z30" s="282">
        <f t="shared" si="9"/>
        <v>2012</v>
      </c>
      <c r="AA30" s="286">
        <f t="shared" si="10"/>
        <v>0</v>
      </c>
      <c r="AB30" s="286">
        <f>Q257</f>
        <v>0</v>
      </c>
      <c r="AC30" s="286">
        <f t="shared" si="11"/>
        <v>0</v>
      </c>
      <c r="AD30" s="286">
        <f>P257</f>
        <v>0</v>
      </c>
      <c r="AE30" s="286">
        <f t="shared" si="12"/>
        <v>0</v>
      </c>
      <c r="AF30" s="286">
        <f t="shared" si="26"/>
        <v>538.3</v>
      </c>
      <c r="AG30" s="291">
        <f>O257+AE30+AF30</f>
        <v>6997.9000000000015</v>
      </c>
      <c r="AH30" s="259">
        <f t="shared" si="14"/>
        <v>257</v>
      </c>
      <c r="AI30" s="259">
        <f t="shared" si="15"/>
        <v>269</v>
      </c>
      <c r="AJ30" s="259">
        <f t="shared" si="16"/>
        <v>2012</v>
      </c>
      <c r="AK30" s="321">
        <f>O257</f>
        <v>6459.600000000001</v>
      </c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</row>
    <row r="31" spans="1:49" ht="15">
      <c r="A31" s="284" t="s">
        <v>188</v>
      </c>
      <c r="B31" s="220"/>
      <c r="C31" s="285">
        <f t="shared" si="20"/>
        <v>0</v>
      </c>
      <c r="D31" s="285">
        <f t="shared" si="20"/>
        <v>0</v>
      </c>
      <c r="E31" s="184">
        <f t="shared" si="1"/>
        <v>0</v>
      </c>
      <c r="F31" s="285">
        <f t="shared" si="21"/>
        <v>538.3</v>
      </c>
      <c r="G31" s="184">
        <f t="shared" si="19"/>
        <v>538.3</v>
      </c>
      <c r="H31" s="285">
        <f t="shared" si="22"/>
        <v>0</v>
      </c>
      <c r="I31" s="324">
        <f t="shared" si="22"/>
        <v>18</v>
      </c>
      <c r="J31" s="324">
        <f t="shared" si="22"/>
        <v>18</v>
      </c>
      <c r="K31" s="259"/>
      <c r="L31" s="282">
        <f t="shared" si="5"/>
        <v>2013</v>
      </c>
      <c r="M31" s="285"/>
      <c r="N31" s="264"/>
      <c r="O31" s="184">
        <f t="shared" si="23"/>
        <v>538.3</v>
      </c>
      <c r="P31" s="184">
        <f t="shared" si="24"/>
        <v>0</v>
      </c>
      <c r="Q31" s="184">
        <f t="shared" si="25"/>
        <v>0</v>
      </c>
      <c r="R31" s="297"/>
      <c r="S31" s="264"/>
      <c r="T31" s="270"/>
      <c r="U31" s="270"/>
      <c r="V31" s="270"/>
      <c r="W31" s="270"/>
      <c r="X31" s="293"/>
      <c r="Y31" s="259"/>
      <c r="Z31" s="282">
        <f t="shared" si="9"/>
        <v>2013</v>
      </c>
      <c r="AA31" s="286">
        <f t="shared" si="10"/>
        <v>0</v>
      </c>
      <c r="AB31" s="286">
        <f>Q270</f>
        <v>0</v>
      </c>
      <c r="AC31" s="286">
        <f t="shared" si="11"/>
        <v>0</v>
      </c>
      <c r="AD31" s="286">
        <f>P270</f>
        <v>0</v>
      </c>
      <c r="AE31" s="286">
        <f t="shared" si="12"/>
        <v>0</v>
      </c>
      <c r="AF31" s="286">
        <f t="shared" si="26"/>
        <v>538.3</v>
      </c>
      <c r="AG31" s="291">
        <f>O270+AE31+AF31</f>
        <v>6997.9000000000015</v>
      </c>
      <c r="AH31" s="259">
        <f t="shared" si="14"/>
        <v>270</v>
      </c>
      <c r="AI31" s="259">
        <f t="shared" si="15"/>
        <v>282</v>
      </c>
      <c r="AJ31" s="259">
        <f t="shared" si="16"/>
        <v>2013</v>
      </c>
      <c r="AK31" s="321">
        <f>O270</f>
        <v>6459.600000000001</v>
      </c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</row>
    <row r="32" spans="1:49" ht="12.75">
      <c r="A32" s="284" t="s">
        <v>189</v>
      </c>
      <c r="B32" s="220"/>
      <c r="C32" s="285">
        <f t="shared" si="20"/>
        <v>0</v>
      </c>
      <c r="D32" s="285">
        <f t="shared" si="20"/>
        <v>0</v>
      </c>
      <c r="E32" s="184">
        <f t="shared" si="1"/>
        <v>0</v>
      </c>
      <c r="F32" s="285">
        <f t="shared" si="21"/>
        <v>538.3</v>
      </c>
      <c r="G32" s="184">
        <f t="shared" si="19"/>
        <v>538.3</v>
      </c>
      <c r="H32" s="285">
        <f t="shared" si="22"/>
        <v>0</v>
      </c>
      <c r="I32" s="324">
        <f t="shared" si="22"/>
        <v>18</v>
      </c>
      <c r="J32" s="324">
        <f t="shared" si="22"/>
        <v>18</v>
      </c>
      <c r="K32" s="259"/>
      <c r="L32" s="282">
        <f t="shared" si="5"/>
        <v>2014</v>
      </c>
      <c r="M32" s="285"/>
      <c r="N32" s="20"/>
      <c r="O32" s="184">
        <f t="shared" si="23"/>
        <v>538.3</v>
      </c>
      <c r="P32" s="184">
        <f t="shared" si="24"/>
        <v>0</v>
      </c>
      <c r="Q32" s="184">
        <f t="shared" si="25"/>
        <v>0</v>
      </c>
      <c r="R32" s="297"/>
      <c r="S32" s="20"/>
      <c r="T32" s="293"/>
      <c r="U32" s="293"/>
      <c r="V32" s="293"/>
      <c r="W32" s="293"/>
      <c r="X32" s="293"/>
      <c r="Y32" s="259"/>
      <c r="Z32" s="282">
        <f t="shared" si="9"/>
        <v>2014</v>
      </c>
      <c r="AA32" s="286">
        <f t="shared" si="10"/>
        <v>0</v>
      </c>
      <c r="AB32" s="286">
        <f>Q283</f>
        <v>0</v>
      </c>
      <c r="AC32" s="286">
        <f t="shared" si="11"/>
        <v>0</v>
      </c>
      <c r="AD32" s="286">
        <f>P283</f>
        <v>0</v>
      </c>
      <c r="AE32" s="286">
        <f t="shared" si="12"/>
        <v>0</v>
      </c>
      <c r="AF32" s="286">
        <f t="shared" si="26"/>
        <v>538.3</v>
      </c>
      <c r="AG32" s="291">
        <f>O283+AE32+AF32</f>
        <v>6997.9000000000015</v>
      </c>
      <c r="AH32" s="259">
        <f t="shared" si="14"/>
        <v>283</v>
      </c>
      <c r="AI32" s="259">
        <f t="shared" si="15"/>
        <v>295</v>
      </c>
      <c r="AJ32" s="259">
        <f t="shared" si="16"/>
        <v>2014</v>
      </c>
      <c r="AK32" s="321">
        <f>O283</f>
        <v>6459.600000000001</v>
      </c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</row>
    <row r="33" spans="1:49" ht="15">
      <c r="A33" s="284" t="s">
        <v>190</v>
      </c>
      <c r="B33" s="220"/>
      <c r="C33" s="285">
        <f t="shared" si="20"/>
        <v>0</v>
      </c>
      <c r="D33" s="285">
        <f t="shared" si="20"/>
        <v>0</v>
      </c>
      <c r="E33" s="184">
        <f t="shared" si="1"/>
        <v>0</v>
      </c>
      <c r="F33" s="285">
        <f t="shared" si="21"/>
        <v>538.3</v>
      </c>
      <c r="G33" s="184">
        <f t="shared" si="19"/>
        <v>538.3</v>
      </c>
      <c r="H33" s="285">
        <f t="shared" si="22"/>
        <v>0</v>
      </c>
      <c r="I33" s="324">
        <f t="shared" si="22"/>
        <v>18</v>
      </c>
      <c r="J33" s="324">
        <f t="shared" si="22"/>
        <v>18</v>
      </c>
      <c r="K33" s="259"/>
      <c r="L33" s="282">
        <f t="shared" si="5"/>
        <v>2015</v>
      </c>
      <c r="M33" s="285"/>
      <c r="N33" s="264"/>
      <c r="O33" s="184">
        <f t="shared" si="23"/>
        <v>538.3</v>
      </c>
      <c r="P33" s="184">
        <f t="shared" si="24"/>
        <v>0</v>
      </c>
      <c r="Q33" s="184">
        <f t="shared" si="25"/>
        <v>0</v>
      </c>
      <c r="R33" s="297"/>
      <c r="S33" s="264"/>
      <c r="T33" s="270"/>
      <c r="U33" s="270"/>
      <c r="V33" s="270"/>
      <c r="W33" s="270"/>
      <c r="X33" s="270"/>
      <c r="Y33" s="259"/>
      <c r="Z33" s="282">
        <f t="shared" si="9"/>
        <v>2015</v>
      </c>
      <c r="AA33" s="286">
        <f t="shared" si="10"/>
        <v>0</v>
      </c>
      <c r="AB33" s="286">
        <f>Q296</f>
        <v>0</v>
      </c>
      <c r="AC33" s="286">
        <f t="shared" si="11"/>
        <v>0</v>
      </c>
      <c r="AD33" s="286">
        <f>P296</f>
        <v>0</v>
      </c>
      <c r="AE33" s="286">
        <f t="shared" si="12"/>
        <v>0</v>
      </c>
      <c r="AF33" s="286">
        <f t="shared" si="26"/>
        <v>538.3</v>
      </c>
      <c r="AG33" s="291">
        <f>O296+AE33+AF33</f>
        <v>4844.700000000001</v>
      </c>
      <c r="AH33" s="259">
        <f t="shared" si="14"/>
        <v>296</v>
      </c>
      <c r="AI33" s="259">
        <f t="shared" si="15"/>
        <v>308</v>
      </c>
      <c r="AJ33" s="259">
        <f t="shared" si="16"/>
        <v>2015</v>
      </c>
      <c r="AK33" s="321">
        <f>O296</f>
        <v>4306.400000000001</v>
      </c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</row>
    <row r="34" spans="1:49" ht="12.75">
      <c r="A34" s="284" t="s">
        <v>191</v>
      </c>
      <c r="B34" s="220"/>
      <c r="C34" s="285">
        <f t="shared" si="20"/>
        <v>0</v>
      </c>
      <c r="D34" s="285">
        <f t="shared" si="20"/>
        <v>0</v>
      </c>
      <c r="E34" s="184">
        <f t="shared" si="1"/>
        <v>0</v>
      </c>
      <c r="F34" s="285">
        <f t="shared" si="21"/>
        <v>538.3</v>
      </c>
      <c r="G34" s="184">
        <f t="shared" si="19"/>
        <v>538.3</v>
      </c>
      <c r="H34" s="285">
        <f t="shared" si="22"/>
        <v>0</v>
      </c>
      <c r="I34" s="324">
        <f t="shared" si="22"/>
        <v>18</v>
      </c>
      <c r="J34" s="324">
        <f t="shared" si="22"/>
        <v>18</v>
      </c>
      <c r="K34" s="259"/>
      <c r="L34" s="282">
        <f t="shared" si="5"/>
        <v>2016</v>
      </c>
      <c r="M34" s="285"/>
      <c r="N34" s="20"/>
      <c r="O34" s="184">
        <f t="shared" si="23"/>
        <v>538.3</v>
      </c>
      <c r="P34" s="184">
        <f t="shared" si="24"/>
        <v>0</v>
      </c>
      <c r="Q34" s="184">
        <f t="shared" si="25"/>
        <v>0</v>
      </c>
      <c r="R34" s="297"/>
      <c r="S34" s="20"/>
      <c r="T34" s="293"/>
      <c r="U34" s="293"/>
      <c r="V34" s="293"/>
      <c r="W34" s="293"/>
      <c r="X34" s="293"/>
      <c r="Y34" s="259"/>
      <c r="Z34" s="282">
        <f t="shared" si="9"/>
        <v>2016</v>
      </c>
      <c r="AA34" s="286">
        <f t="shared" si="10"/>
        <v>0</v>
      </c>
      <c r="AB34" s="286">
        <f>Q309</f>
        <v>0</v>
      </c>
      <c r="AC34" s="286">
        <f t="shared" si="11"/>
        <v>0</v>
      </c>
      <c r="AD34" s="286">
        <f>P309</f>
        <v>0</v>
      </c>
      <c r="AE34" s="286">
        <f t="shared" si="12"/>
        <v>0</v>
      </c>
      <c r="AF34" s="286">
        <f t="shared" si="26"/>
        <v>0</v>
      </c>
      <c r="AG34" s="291">
        <f>O309+AE34+AF34</f>
        <v>0</v>
      </c>
      <c r="AH34" s="259">
        <f t="shared" si="14"/>
        <v>309</v>
      </c>
      <c r="AI34" s="259">
        <f t="shared" si="15"/>
        <v>321</v>
      </c>
      <c r="AJ34" s="259">
        <f t="shared" si="16"/>
        <v>2016</v>
      </c>
      <c r="AK34" s="321">
        <f>O309</f>
        <v>0</v>
      </c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</row>
    <row r="35" spans="1:49" ht="15">
      <c r="A35" s="284" t="s">
        <v>192</v>
      </c>
      <c r="B35" s="220"/>
      <c r="C35" s="285">
        <f t="shared" si="20"/>
        <v>0</v>
      </c>
      <c r="D35" s="285">
        <f t="shared" si="20"/>
        <v>0</v>
      </c>
      <c r="E35" s="184">
        <f t="shared" si="1"/>
        <v>0</v>
      </c>
      <c r="F35" s="285">
        <f t="shared" si="21"/>
        <v>538.3</v>
      </c>
      <c r="G35" s="184">
        <f t="shared" si="19"/>
        <v>538.3</v>
      </c>
      <c r="H35" s="285">
        <f t="shared" si="22"/>
        <v>0</v>
      </c>
      <c r="I35" s="324">
        <f t="shared" si="22"/>
        <v>18</v>
      </c>
      <c r="J35" s="324">
        <f t="shared" si="22"/>
        <v>18</v>
      </c>
      <c r="K35" s="259"/>
      <c r="L35" s="282">
        <f t="shared" si="5"/>
        <v>2017</v>
      </c>
      <c r="M35" s="285"/>
      <c r="N35" s="264"/>
      <c r="O35" s="184">
        <f t="shared" si="23"/>
        <v>538.3</v>
      </c>
      <c r="P35" s="184">
        <f t="shared" si="24"/>
        <v>0</v>
      </c>
      <c r="Q35" s="184">
        <f t="shared" si="25"/>
        <v>0</v>
      </c>
      <c r="R35" s="297"/>
      <c r="S35" s="264"/>
      <c r="T35" s="270"/>
      <c r="U35" s="270"/>
      <c r="V35" s="270"/>
      <c r="W35" s="270"/>
      <c r="X35" s="270"/>
      <c r="Y35" s="259"/>
      <c r="Z35" s="282">
        <f t="shared" si="9"/>
        <v>2017</v>
      </c>
      <c r="AA35" s="286">
        <f t="shared" si="10"/>
        <v>0</v>
      </c>
      <c r="AB35" s="286">
        <f>Q322</f>
        <v>0</v>
      </c>
      <c r="AC35" s="286">
        <f t="shared" si="11"/>
        <v>0</v>
      </c>
      <c r="AD35" s="286">
        <f>P322</f>
        <v>0</v>
      </c>
      <c r="AE35" s="286">
        <f t="shared" si="12"/>
        <v>0</v>
      </c>
      <c r="AF35" s="286">
        <f t="shared" si="26"/>
        <v>0</v>
      </c>
      <c r="AG35" s="291">
        <f>O322+AE35+AF35</f>
        <v>0</v>
      </c>
      <c r="AH35" s="259">
        <f t="shared" si="14"/>
        <v>322</v>
      </c>
      <c r="AI35" s="259">
        <f t="shared" si="15"/>
        <v>334</v>
      </c>
      <c r="AJ35" s="259">
        <f t="shared" si="16"/>
        <v>2017</v>
      </c>
      <c r="AK35" s="321">
        <f>O322</f>
        <v>0</v>
      </c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</row>
    <row r="36" spans="1:49" ht="12.75">
      <c r="A36" s="282">
        <f>A23+1</f>
        <v>1995</v>
      </c>
      <c r="B36" s="28"/>
      <c r="C36" s="28"/>
      <c r="D36" s="28"/>
      <c r="E36" s="306">
        <f>SUM(E37:E48)</f>
        <v>0</v>
      </c>
      <c r="F36" s="287"/>
      <c r="G36" s="283">
        <f>SUM(G37:G48)</f>
        <v>6459.600000000001</v>
      </c>
      <c r="H36" s="309">
        <f>SUM(H37:H48)</f>
        <v>0</v>
      </c>
      <c r="I36" s="326">
        <f>SUM(I37:I48)</f>
        <v>216</v>
      </c>
      <c r="J36" s="326">
        <f>SUM(J37:J48)</f>
        <v>216</v>
      </c>
      <c r="K36" s="259"/>
      <c r="L36" s="282">
        <f t="shared" si="5"/>
        <v>2018</v>
      </c>
      <c r="M36" s="285"/>
      <c r="N36" s="20"/>
      <c r="O36" s="136">
        <f>SUM(O37:O48)</f>
        <v>6459.600000000001</v>
      </c>
      <c r="P36" s="136">
        <f>SUM(P37:P48)</f>
        <v>0</v>
      </c>
      <c r="Q36" s="136">
        <f>SUM(Q37:Q48)</f>
        <v>0</v>
      </c>
      <c r="R36" s="136">
        <f>J36/I36</f>
        <v>1</v>
      </c>
      <c r="S36" s="20"/>
      <c r="T36" s="293"/>
      <c r="U36" s="293"/>
      <c r="V36" s="293"/>
      <c r="W36" s="293"/>
      <c r="X36" s="293"/>
      <c r="Y36" s="259"/>
      <c r="Z36" s="282">
        <f t="shared" si="9"/>
        <v>2018</v>
      </c>
      <c r="AA36" s="286">
        <f t="shared" si="10"/>
        <v>0</v>
      </c>
      <c r="AB36" s="286">
        <f>Q335</f>
        <v>0</v>
      </c>
      <c r="AC36" s="286">
        <f t="shared" si="11"/>
        <v>0</v>
      </c>
      <c r="AD36" s="286">
        <f>P335</f>
        <v>0</v>
      </c>
      <c r="AE36" s="286">
        <f t="shared" si="12"/>
        <v>0</v>
      </c>
      <c r="AF36" s="286">
        <f t="shared" si="26"/>
        <v>0</v>
      </c>
      <c r="AG36" s="291">
        <f>O335+AE36+AF36</f>
        <v>0</v>
      </c>
      <c r="AH36" s="259">
        <f t="shared" si="14"/>
        <v>335</v>
      </c>
      <c r="AI36" s="259">
        <f t="shared" si="15"/>
        <v>347</v>
      </c>
      <c r="AJ36" s="259">
        <f t="shared" si="16"/>
        <v>2018</v>
      </c>
      <c r="AK36" s="321">
        <f>O335</f>
        <v>0</v>
      </c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</row>
    <row r="37" spans="1:49" ht="15">
      <c r="A37" s="284" t="s">
        <v>181</v>
      </c>
      <c r="B37" s="220"/>
      <c r="C37" s="285">
        <f>C35</f>
        <v>0</v>
      </c>
      <c r="D37" s="285">
        <f>D35</f>
        <v>0</v>
      </c>
      <c r="E37" s="184">
        <f t="shared" si="1"/>
        <v>0</v>
      </c>
      <c r="F37" s="285">
        <f>F35</f>
        <v>538.3</v>
      </c>
      <c r="G37" s="184">
        <f aca="true" t="shared" si="27" ref="G37:G48">SUM(E37:F37)</f>
        <v>538.3</v>
      </c>
      <c r="H37" s="285">
        <f>H35</f>
        <v>0</v>
      </c>
      <c r="I37" s="324">
        <f>I35</f>
        <v>18</v>
      </c>
      <c r="J37" s="324">
        <f>J35</f>
        <v>18</v>
      </c>
      <c r="K37" s="259"/>
      <c r="L37" s="282">
        <f t="shared" si="5"/>
        <v>2019</v>
      </c>
      <c r="M37" s="285"/>
      <c r="N37" s="264"/>
      <c r="O37" s="184">
        <f>G37/I37*J37</f>
        <v>538.3</v>
      </c>
      <c r="P37" s="184">
        <f>E37*0.18/I37*J37</f>
        <v>0</v>
      </c>
      <c r="Q37" s="184">
        <f>H37/I37*J37</f>
        <v>0</v>
      </c>
      <c r="R37" s="297"/>
      <c r="S37" s="264"/>
      <c r="T37" s="270"/>
      <c r="U37" s="270"/>
      <c r="V37" s="270"/>
      <c r="W37" s="270"/>
      <c r="X37" s="270"/>
      <c r="Y37" s="259"/>
      <c r="Z37" s="282">
        <f t="shared" si="9"/>
        <v>2019</v>
      </c>
      <c r="AA37" s="286">
        <f t="shared" si="10"/>
        <v>0</v>
      </c>
      <c r="AB37" s="286">
        <f>Q348</f>
        <v>0</v>
      </c>
      <c r="AC37" s="286">
        <f t="shared" si="11"/>
        <v>0</v>
      </c>
      <c r="AD37" s="286">
        <f>P348</f>
        <v>0</v>
      </c>
      <c r="AE37" s="286">
        <f t="shared" si="12"/>
        <v>0</v>
      </c>
      <c r="AF37" s="286">
        <f t="shared" si="26"/>
        <v>0</v>
      </c>
      <c r="AG37" s="291">
        <f>O348+AE37+AF37</f>
        <v>0</v>
      </c>
      <c r="AH37" s="259">
        <f t="shared" si="14"/>
        <v>348</v>
      </c>
      <c r="AI37" s="259">
        <f t="shared" si="15"/>
        <v>360</v>
      </c>
      <c r="AJ37" s="259">
        <f t="shared" si="16"/>
        <v>2019</v>
      </c>
      <c r="AK37" s="321">
        <f>O348</f>
        <v>0</v>
      </c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</row>
    <row r="38" spans="1:49" ht="12.75">
      <c r="A38" s="284" t="s">
        <v>182</v>
      </c>
      <c r="B38" s="220"/>
      <c r="C38" s="285">
        <f aca="true" t="shared" si="28" ref="C38:D48">C37</f>
        <v>0</v>
      </c>
      <c r="D38" s="285">
        <f t="shared" si="28"/>
        <v>0</v>
      </c>
      <c r="E38" s="184">
        <f t="shared" si="1"/>
        <v>0</v>
      </c>
      <c r="F38" s="285">
        <f aca="true" t="shared" si="29" ref="F38:F48">F37</f>
        <v>538.3</v>
      </c>
      <c r="G38" s="184">
        <f t="shared" si="27"/>
        <v>538.3</v>
      </c>
      <c r="H38" s="285">
        <f aca="true" t="shared" si="30" ref="H38:J48">H37</f>
        <v>0</v>
      </c>
      <c r="I38" s="324">
        <f t="shared" si="30"/>
        <v>18</v>
      </c>
      <c r="J38" s="324">
        <f t="shared" si="30"/>
        <v>18</v>
      </c>
      <c r="K38" s="259"/>
      <c r="L38" s="282">
        <f t="shared" si="5"/>
        <v>2020</v>
      </c>
      <c r="M38" s="285"/>
      <c r="N38" s="20"/>
      <c r="O38" s="184">
        <f aca="true" t="shared" si="31" ref="O38:O48">G38/I38*J38</f>
        <v>538.3</v>
      </c>
      <c r="P38" s="184">
        <f aca="true" t="shared" si="32" ref="P38:P48">E38*0.18/I38*J38</f>
        <v>0</v>
      </c>
      <c r="Q38" s="184">
        <f aca="true" t="shared" si="33" ref="Q38:Q48">H38/I38*J38</f>
        <v>0</v>
      </c>
      <c r="R38" s="297"/>
      <c r="S38" s="20"/>
      <c r="T38" s="293"/>
      <c r="U38" s="293"/>
      <c r="V38" s="293"/>
      <c r="W38" s="293"/>
      <c r="X38" s="293"/>
      <c r="Y38" s="259"/>
      <c r="Z38" s="282">
        <f t="shared" si="9"/>
        <v>2020</v>
      </c>
      <c r="AA38" s="286">
        <f t="shared" si="10"/>
        <v>0</v>
      </c>
      <c r="AB38" s="286">
        <f>Q361</f>
        <v>0</v>
      </c>
      <c r="AC38" s="286">
        <f t="shared" si="11"/>
        <v>0</v>
      </c>
      <c r="AD38" s="286">
        <f>P361</f>
        <v>0</v>
      </c>
      <c r="AE38" s="286">
        <f t="shared" si="12"/>
        <v>0</v>
      </c>
      <c r="AF38" s="286">
        <f t="shared" si="26"/>
        <v>0</v>
      </c>
      <c r="AG38" s="291">
        <f>O361+AE38+AF38</f>
        <v>0</v>
      </c>
      <c r="AH38" s="259">
        <f t="shared" si="14"/>
        <v>361</v>
      </c>
      <c r="AI38" s="259">
        <f t="shared" si="15"/>
        <v>373</v>
      </c>
      <c r="AJ38" s="259">
        <f t="shared" si="16"/>
        <v>2020</v>
      </c>
      <c r="AK38" s="321">
        <f>O361</f>
        <v>0</v>
      </c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</row>
    <row r="39" spans="1:49" ht="15">
      <c r="A39" s="284" t="s">
        <v>183</v>
      </c>
      <c r="B39" s="220"/>
      <c r="C39" s="285">
        <f t="shared" si="28"/>
        <v>0</v>
      </c>
      <c r="D39" s="285">
        <f t="shared" si="28"/>
        <v>0</v>
      </c>
      <c r="E39" s="184">
        <f t="shared" si="1"/>
        <v>0</v>
      </c>
      <c r="F39" s="285">
        <f t="shared" si="29"/>
        <v>538.3</v>
      </c>
      <c r="G39" s="184">
        <f t="shared" si="27"/>
        <v>538.3</v>
      </c>
      <c r="H39" s="285">
        <f t="shared" si="30"/>
        <v>0</v>
      </c>
      <c r="I39" s="324">
        <f t="shared" si="30"/>
        <v>18</v>
      </c>
      <c r="J39" s="324">
        <f t="shared" si="30"/>
        <v>18</v>
      </c>
      <c r="K39" s="259"/>
      <c r="L39" s="259"/>
      <c r="M39" s="259"/>
      <c r="N39" s="264"/>
      <c r="O39" s="184">
        <f t="shared" si="31"/>
        <v>538.3</v>
      </c>
      <c r="P39" s="184">
        <f t="shared" si="32"/>
        <v>0</v>
      </c>
      <c r="Q39" s="184">
        <f t="shared" si="33"/>
        <v>0</v>
      </c>
      <c r="R39" s="297"/>
      <c r="S39" s="264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</row>
    <row r="40" spans="1:49" ht="12.75" customHeight="1">
      <c r="A40" s="284" t="s">
        <v>184</v>
      </c>
      <c r="B40" s="220"/>
      <c r="C40" s="285">
        <f t="shared" si="28"/>
        <v>0</v>
      </c>
      <c r="D40" s="285">
        <f t="shared" si="28"/>
        <v>0</v>
      </c>
      <c r="E40" s="184">
        <f t="shared" si="1"/>
        <v>0</v>
      </c>
      <c r="F40" s="285">
        <f t="shared" si="29"/>
        <v>538.3</v>
      </c>
      <c r="G40" s="184">
        <f t="shared" si="27"/>
        <v>538.3</v>
      </c>
      <c r="H40" s="285">
        <f t="shared" si="30"/>
        <v>0</v>
      </c>
      <c r="I40" s="324">
        <f t="shared" si="30"/>
        <v>18</v>
      </c>
      <c r="J40" s="324">
        <f t="shared" si="30"/>
        <v>18</v>
      </c>
      <c r="K40" s="259"/>
      <c r="L40" s="259"/>
      <c r="M40" s="259"/>
      <c r="N40" s="20"/>
      <c r="O40" s="184">
        <f t="shared" si="31"/>
        <v>538.3</v>
      </c>
      <c r="P40" s="184">
        <f t="shared" si="32"/>
        <v>0</v>
      </c>
      <c r="Q40" s="184">
        <f t="shared" si="33"/>
        <v>0</v>
      </c>
      <c r="R40" s="297"/>
      <c r="S40" s="20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</row>
    <row r="41" spans="1:49" ht="15">
      <c r="A41" s="284" t="s">
        <v>185</v>
      </c>
      <c r="B41" s="220"/>
      <c r="C41" s="285">
        <f t="shared" si="28"/>
        <v>0</v>
      </c>
      <c r="D41" s="285">
        <f t="shared" si="28"/>
        <v>0</v>
      </c>
      <c r="E41" s="184">
        <f t="shared" si="1"/>
        <v>0</v>
      </c>
      <c r="F41" s="285">
        <f t="shared" si="29"/>
        <v>538.3</v>
      </c>
      <c r="G41" s="184">
        <f t="shared" si="27"/>
        <v>538.3</v>
      </c>
      <c r="H41" s="285">
        <f t="shared" si="30"/>
        <v>0</v>
      </c>
      <c r="I41" s="324">
        <f t="shared" si="30"/>
        <v>18</v>
      </c>
      <c r="J41" s="324">
        <f t="shared" si="30"/>
        <v>18</v>
      </c>
      <c r="K41" s="259"/>
      <c r="L41" s="259"/>
      <c r="M41" s="259"/>
      <c r="N41" s="264"/>
      <c r="O41" s="184">
        <f t="shared" si="31"/>
        <v>538.3</v>
      </c>
      <c r="P41" s="184">
        <f t="shared" si="32"/>
        <v>0</v>
      </c>
      <c r="Q41" s="184">
        <f t="shared" si="33"/>
        <v>0</v>
      </c>
      <c r="R41" s="297"/>
      <c r="S41" s="264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</row>
    <row r="42" spans="1:49" ht="12">
      <c r="A42" s="284" t="s">
        <v>186</v>
      </c>
      <c r="B42" s="220"/>
      <c r="C42" s="285">
        <f t="shared" si="28"/>
        <v>0</v>
      </c>
      <c r="D42" s="285">
        <f t="shared" si="28"/>
        <v>0</v>
      </c>
      <c r="E42" s="184">
        <f t="shared" si="1"/>
        <v>0</v>
      </c>
      <c r="F42" s="285">
        <f t="shared" si="29"/>
        <v>538.3</v>
      </c>
      <c r="G42" s="184">
        <f t="shared" si="27"/>
        <v>538.3</v>
      </c>
      <c r="H42" s="285">
        <f t="shared" si="30"/>
        <v>0</v>
      </c>
      <c r="I42" s="324">
        <f t="shared" si="30"/>
        <v>18</v>
      </c>
      <c r="J42" s="324">
        <f t="shared" si="30"/>
        <v>18</v>
      </c>
      <c r="K42" s="259"/>
      <c r="L42" s="259"/>
      <c r="M42" s="259"/>
      <c r="N42" s="20"/>
      <c r="O42" s="184">
        <f t="shared" si="31"/>
        <v>538.3</v>
      </c>
      <c r="P42" s="184">
        <f t="shared" si="32"/>
        <v>0</v>
      </c>
      <c r="Q42" s="184">
        <f t="shared" si="33"/>
        <v>0</v>
      </c>
      <c r="R42" s="297"/>
      <c r="S42" s="20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</row>
    <row r="43" spans="1:49" ht="15">
      <c r="A43" s="284" t="s">
        <v>187</v>
      </c>
      <c r="B43" s="220"/>
      <c r="C43" s="285">
        <f t="shared" si="28"/>
        <v>0</v>
      </c>
      <c r="D43" s="285">
        <f t="shared" si="28"/>
        <v>0</v>
      </c>
      <c r="E43" s="184">
        <f t="shared" si="1"/>
        <v>0</v>
      </c>
      <c r="F43" s="285">
        <f t="shared" si="29"/>
        <v>538.3</v>
      </c>
      <c r="G43" s="184">
        <f t="shared" si="27"/>
        <v>538.3</v>
      </c>
      <c r="H43" s="285">
        <f t="shared" si="30"/>
        <v>0</v>
      </c>
      <c r="I43" s="324">
        <f t="shared" si="30"/>
        <v>18</v>
      </c>
      <c r="J43" s="324">
        <f t="shared" si="30"/>
        <v>18</v>
      </c>
      <c r="K43" s="259"/>
      <c r="L43" s="259"/>
      <c r="M43" s="259"/>
      <c r="N43" s="264"/>
      <c r="O43" s="184">
        <f t="shared" si="31"/>
        <v>538.3</v>
      </c>
      <c r="P43" s="184">
        <f t="shared" si="32"/>
        <v>0</v>
      </c>
      <c r="Q43" s="184">
        <f t="shared" si="33"/>
        <v>0</v>
      </c>
      <c r="R43" s="297"/>
      <c r="S43" s="264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</row>
    <row r="44" spans="1:49" ht="12">
      <c r="A44" s="284" t="s">
        <v>188</v>
      </c>
      <c r="B44" s="220"/>
      <c r="C44" s="285">
        <f t="shared" si="28"/>
        <v>0</v>
      </c>
      <c r="D44" s="285">
        <f t="shared" si="28"/>
        <v>0</v>
      </c>
      <c r="E44" s="184">
        <f t="shared" si="1"/>
        <v>0</v>
      </c>
      <c r="F44" s="285">
        <f t="shared" si="29"/>
        <v>538.3</v>
      </c>
      <c r="G44" s="184">
        <f t="shared" si="27"/>
        <v>538.3</v>
      </c>
      <c r="H44" s="285">
        <f t="shared" si="30"/>
        <v>0</v>
      </c>
      <c r="I44" s="324">
        <f t="shared" si="30"/>
        <v>18</v>
      </c>
      <c r="J44" s="324">
        <f t="shared" si="30"/>
        <v>18</v>
      </c>
      <c r="K44" s="259"/>
      <c r="L44" s="259"/>
      <c r="M44" s="259"/>
      <c r="N44" s="20"/>
      <c r="O44" s="184">
        <f t="shared" si="31"/>
        <v>538.3</v>
      </c>
      <c r="P44" s="184">
        <f t="shared" si="32"/>
        <v>0</v>
      </c>
      <c r="Q44" s="184">
        <f t="shared" si="33"/>
        <v>0</v>
      </c>
      <c r="R44" s="297"/>
      <c r="S44" s="20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</row>
    <row r="45" spans="1:49" ht="15">
      <c r="A45" s="284" t="s">
        <v>189</v>
      </c>
      <c r="B45" s="220"/>
      <c r="C45" s="285">
        <f t="shared" si="28"/>
        <v>0</v>
      </c>
      <c r="D45" s="285">
        <f t="shared" si="28"/>
        <v>0</v>
      </c>
      <c r="E45" s="184">
        <f t="shared" si="1"/>
        <v>0</v>
      </c>
      <c r="F45" s="285">
        <f t="shared" si="29"/>
        <v>538.3</v>
      </c>
      <c r="G45" s="184">
        <f t="shared" si="27"/>
        <v>538.3</v>
      </c>
      <c r="H45" s="285">
        <f t="shared" si="30"/>
        <v>0</v>
      </c>
      <c r="I45" s="324">
        <f t="shared" si="30"/>
        <v>18</v>
      </c>
      <c r="J45" s="324">
        <f t="shared" si="30"/>
        <v>18</v>
      </c>
      <c r="K45" s="259"/>
      <c r="L45" s="259"/>
      <c r="M45" s="259"/>
      <c r="N45" s="264"/>
      <c r="O45" s="184">
        <f t="shared" si="31"/>
        <v>538.3</v>
      </c>
      <c r="P45" s="184">
        <f t="shared" si="32"/>
        <v>0</v>
      </c>
      <c r="Q45" s="184">
        <f t="shared" si="33"/>
        <v>0</v>
      </c>
      <c r="R45" s="297"/>
      <c r="S45" s="264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</row>
    <row r="46" spans="1:49" ht="12">
      <c r="A46" s="284" t="s">
        <v>190</v>
      </c>
      <c r="B46" s="220"/>
      <c r="C46" s="285">
        <f t="shared" si="28"/>
        <v>0</v>
      </c>
      <c r="D46" s="285">
        <f t="shared" si="28"/>
        <v>0</v>
      </c>
      <c r="E46" s="184">
        <f t="shared" si="1"/>
        <v>0</v>
      </c>
      <c r="F46" s="285">
        <f t="shared" si="29"/>
        <v>538.3</v>
      </c>
      <c r="G46" s="184">
        <f t="shared" si="27"/>
        <v>538.3</v>
      </c>
      <c r="H46" s="285">
        <f t="shared" si="30"/>
        <v>0</v>
      </c>
      <c r="I46" s="324">
        <f t="shared" si="30"/>
        <v>18</v>
      </c>
      <c r="J46" s="324">
        <f t="shared" si="30"/>
        <v>18</v>
      </c>
      <c r="K46" s="259"/>
      <c r="L46" s="259"/>
      <c r="M46" s="259"/>
      <c r="N46" s="20"/>
      <c r="O46" s="184">
        <f t="shared" si="31"/>
        <v>538.3</v>
      </c>
      <c r="P46" s="184">
        <f t="shared" si="32"/>
        <v>0</v>
      </c>
      <c r="Q46" s="184">
        <f t="shared" si="33"/>
        <v>0</v>
      </c>
      <c r="R46" s="297"/>
      <c r="S46" s="20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</row>
    <row r="47" spans="1:49" ht="15">
      <c r="A47" s="284" t="s">
        <v>191</v>
      </c>
      <c r="B47" s="220"/>
      <c r="C47" s="285">
        <f t="shared" si="28"/>
        <v>0</v>
      </c>
      <c r="D47" s="285">
        <f t="shared" si="28"/>
        <v>0</v>
      </c>
      <c r="E47" s="184">
        <f t="shared" si="1"/>
        <v>0</v>
      </c>
      <c r="F47" s="285">
        <f t="shared" si="29"/>
        <v>538.3</v>
      </c>
      <c r="G47" s="184">
        <f t="shared" si="27"/>
        <v>538.3</v>
      </c>
      <c r="H47" s="285">
        <f t="shared" si="30"/>
        <v>0</v>
      </c>
      <c r="I47" s="324">
        <f t="shared" si="30"/>
        <v>18</v>
      </c>
      <c r="J47" s="324">
        <f t="shared" si="30"/>
        <v>18</v>
      </c>
      <c r="K47" s="259"/>
      <c r="L47" s="259"/>
      <c r="M47" s="259"/>
      <c r="N47" s="264"/>
      <c r="O47" s="184">
        <f t="shared" si="31"/>
        <v>538.3</v>
      </c>
      <c r="P47" s="184">
        <f t="shared" si="32"/>
        <v>0</v>
      </c>
      <c r="Q47" s="184">
        <f t="shared" si="33"/>
        <v>0</v>
      </c>
      <c r="R47" s="297"/>
      <c r="S47" s="264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</row>
    <row r="48" spans="1:49" ht="12">
      <c r="A48" s="284" t="s">
        <v>192</v>
      </c>
      <c r="B48" s="220"/>
      <c r="C48" s="285">
        <f t="shared" si="28"/>
        <v>0</v>
      </c>
      <c r="D48" s="285">
        <f t="shared" si="28"/>
        <v>0</v>
      </c>
      <c r="E48" s="184">
        <f t="shared" si="1"/>
        <v>0</v>
      </c>
      <c r="F48" s="285">
        <f t="shared" si="29"/>
        <v>538.3</v>
      </c>
      <c r="G48" s="184">
        <f t="shared" si="27"/>
        <v>538.3</v>
      </c>
      <c r="H48" s="285">
        <f t="shared" si="30"/>
        <v>0</v>
      </c>
      <c r="I48" s="324">
        <f t="shared" si="30"/>
        <v>18</v>
      </c>
      <c r="J48" s="324">
        <f t="shared" si="30"/>
        <v>18</v>
      </c>
      <c r="K48" s="259"/>
      <c r="L48" s="259"/>
      <c r="M48" s="259"/>
      <c r="N48" s="20"/>
      <c r="O48" s="184">
        <f t="shared" si="31"/>
        <v>538.3</v>
      </c>
      <c r="P48" s="184">
        <f t="shared" si="32"/>
        <v>0</v>
      </c>
      <c r="Q48" s="184">
        <f t="shared" si="33"/>
        <v>0</v>
      </c>
      <c r="R48" s="297"/>
      <c r="S48" s="20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</row>
    <row r="49" spans="1:49" ht="15">
      <c r="A49" s="282">
        <f>A36+1</f>
        <v>1996</v>
      </c>
      <c r="B49" s="28"/>
      <c r="C49" s="28"/>
      <c r="D49" s="28"/>
      <c r="E49" s="306">
        <f>SUM(E50:E61)</f>
        <v>0</v>
      </c>
      <c r="F49" s="287"/>
      <c r="G49" s="283">
        <f>SUM(G50:G61)</f>
        <v>6459.600000000001</v>
      </c>
      <c r="H49" s="309">
        <f>SUM(H50:H61)</f>
        <v>0</v>
      </c>
      <c r="I49" s="311">
        <f>SUM(I50:I61)</f>
        <v>216</v>
      </c>
      <c r="J49" s="311">
        <f>SUM(J50:J61)</f>
        <v>216</v>
      </c>
      <c r="K49" s="259"/>
      <c r="L49" s="259"/>
      <c r="M49" s="259"/>
      <c r="N49" s="264"/>
      <c r="O49" s="136">
        <f>SUM(O50:O61)</f>
        <v>6459.600000000001</v>
      </c>
      <c r="P49" s="136">
        <f>SUM(P50:P61)</f>
        <v>0</v>
      </c>
      <c r="Q49" s="136">
        <f>SUM(Q50:Q61)</f>
        <v>0</v>
      </c>
      <c r="R49" s="136">
        <f>J49/I49</f>
        <v>1</v>
      </c>
      <c r="S49" s="264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</row>
    <row r="50" spans="1:49" ht="12">
      <c r="A50" s="284" t="s">
        <v>181</v>
      </c>
      <c r="B50" s="220"/>
      <c r="C50" s="285">
        <f>C48</f>
        <v>0</v>
      </c>
      <c r="D50" s="285">
        <f>D48</f>
        <v>0</v>
      </c>
      <c r="E50" s="184">
        <f t="shared" si="1"/>
        <v>0</v>
      </c>
      <c r="F50" s="285">
        <f>F48</f>
        <v>538.3</v>
      </c>
      <c r="G50" s="184">
        <f aca="true" t="shared" si="34" ref="G50:G61">SUM(E50:F50)</f>
        <v>538.3</v>
      </c>
      <c r="H50" s="285">
        <f>H48</f>
        <v>0</v>
      </c>
      <c r="I50" s="310">
        <f>I48</f>
        <v>18</v>
      </c>
      <c r="J50" s="310">
        <f>J48</f>
        <v>18</v>
      </c>
      <c r="K50" s="259"/>
      <c r="L50" s="259"/>
      <c r="M50" s="259"/>
      <c r="N50" s="20"/>
      <c r="O50" s="184">
        <f>G50/I50*J50</f>
        <v>538.3</v>
      </c>
      <c r="P50" s="184">
        <f>E50*0.18/I50*J50</f>
        <v>0</v>
      </c>
      <c r="Q50" s="184">
        <f>H50/I50*J50</f>
        <v>0</v>
      </c>
      <c r="R50" s="297"/>
      <c r="S50" s="20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</row>
    <row r="51" spans="1:49" ht="15">
      <c r="A51" s="284" t="s">
        <v>182</v>
      </c>
      <c r="B51" s="220"/>
      <c r="C51" s="285">
        <f aca="true" t="shared" si="35" ref="C51:D61">C50</f>
        <v>0</v>
      </c>
      <c r="D51" s="285">
        <f t="shared" si="35"/>
        <v>0</v>
      </c>
      <c r="E51" s="184">
        <f t="shared" si="1"/>
        <v>0</v>
      </c>
      <c r="F51" s="285">
        <f aca="true" t="shared" si="36" ref="F51:F61">F50</f>
        <v>538.3</v>
      </c>
      <c r="G51" s="184">
        <f t="shared" si="34"/>
        <v>538.3</v>
      </c>
      <c r="H51" s="285">
        <f aca="true" t="shared" si="37" ref="H51:H61">H50</f>
        <v>0</v>
      </c>
      <c r="I51" s="310">
        <f aca="true" t="shared" si="38" ref="I51:I61">I50</f>
        <v>18</v>
      </c>
      <c r="J51" s="310">
        <f aca="true" t="shared" si="39" ref="J51:J61">J50</f>
        <v>18</v>
      </c>
      <c r="K51" s="259"/>
      <c r="L51" s="259"/>
      <c r="M51" s="259"/>
      <c r="N51" s="264"/>
      <c r="O51" s="184">
        <f aca="true" t="shared" si="40" ref="O51:O61">G51/I51*J51</f>
        <v>538.3</v>
      </c>
      <c r="P51" s="184">
        <f aca="true" t="shared" si="41" ref="P51:P61">E51*0.18/I51*J51</f>
        <v>0</v>
      </c>
      <c r="Q51" s="184">
        <f aca="true" t="shared" si="42" ref="Q51:Q61">H51/I51*J51</f>
        <v>0</v>
      </c>
      <c r="R51" s="297"/>
      <c r="S51" s="264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</row>
    <row r="52" spans="1:49" ht="12">
      <c r="A52" s="284" t="s">
        <v>183</v>
      </c>
      <c r="B52" s="220"/>
      <c r="C52" s="285">
        <f t="shared" si="35"/>
        <v>0</v>
      </c>
      <c r="D52" s="285">
        <f t="shared" si="35"/>
        <v>0</v>
      </c>
      <c r="E52" s="184">
        <f t="shared" si="1"/>
        <v>0</v>
      </c>
      <c r="F52" s="285">
        <f t="shared" si="36"/>
        <v>538.3</v>
      </c>
      <c r="G52" s="184">
        <f t="shared" si="34"/>
        <v>538.3</v>
      </c>
      <c r="H52" s="285">
        <f t="shared" si="37"/>
        <v>0</v>
      </c>
      <c r="I52" s="310">
        <f t="shared" si="38"/>
        <v>18</v>
      </c>
      <c r="J52" s="310">
        <f t="shared" si="39"/>
        <v>18</v>
      </c>
      <c r="K52" s="259"/>
      <c r="L52" s="259"/>
      <c r="M52" s="259"/>
      <c r="N52" s="20"/>
      <c r="O52" s="184">
        <f t="shared" si="40"/>
        <v>538.3</v>
      </c>
      <c r="P52" s="184">
        <f t="shared" si="41"/>
        <v>0</v>
      </c>
      <c r="Q52" s="184">
        <f t="shared" si="42"/>
        <v>0</v>
      </c>
      <c r="R52" s="297"/>
      <c r="S52" s="20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</row>
    <row r="53" spans="1:49" ht="15">
      <c r="A53" s="284" t="s">
        <v>184</v>
      </c>
      <c r="B53" s="220"/>
      <c r="C53" s="285">
        <f t="shared" si="35"/>
        <v>0</v>
      </c>
      <c r="D53" s="285">
        <f t="shared" si="35"/>
        <v>0</v>
      </c>
      <c r="E53" s="184">
        <f t="shared" si="1"/>
        <v>0</v>
      </c>
      <c r="F53" s="285">
        <f t="shared" si="36"/>
        <v>538.3</v>
      </c>
      <c r="G53" s="184">
        <f t="shared" si="34"/>
        <v>538.3</v>
      </c>
      <c r="H53" s="285">
        <f t="shared" si="37"/>
        <v>0</v>
      </c>
      <c r="I53" s="310">
        <f t="shared" si="38"/>
        <v>18</v>
      </c>
      <c r="J53" s="310">
        <f t="shared" si="39"/>
        <v>18</v>
      </c>
      <c r="K53" s="259"/>
      <c r="L53" s="259"/>
      <c r="M53" s="259"/>
      <c r="N53" s="264"/>
      <c r="O53" s="184">
        <f t="shared" si="40"/>
        <v>538.3</v>
      </c>
      <c r="P53" s="184">
        <f t="shared" si="41"/>
        <v>0</v>
      </c>
      <c r="Q53" s="184">
        <f t="shared" si="42"/>
        <v>0</v>
      </c>
      <c r="R53" s="297"/>
      <c r="S53" s="264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</row>
    <row r="54" spans="1:49" ht="12">
      <c r="A54" s="284" t="s">
        <v>185</v>
      </c>
      <c r="B54" s="220"/>
      <c r="C54" s="285">
        <f t="shared" si="35"/>
        <v>0</v>
      </c>
      <c r="D54" s="285">
        <f t="shared" si="35"/>
        <v>0</v>
      </c>
      <c r="E54" s="184">
        <f t="shared" si="1"/>
        <v>0</v>
      </c>
      <c r="F54" s="285">
        <f t="shared" si="36"/>
        <v>538.3</v>
      </c>
      <c r="G54" s="184">
        <f t="shared" si="34"/>
        <v>538.3</v>
      </c>
      <c r="H54" s="285">
        <f t="shared" si="37"/>
        <v>0</v>
      </c>
      <c r="I54" s="310">
        <f t="shared" si="38"/>
        <v>18</v>
      </c>
      <c r="J54" s="310">
        <f t="shared" si="39"/>
        <v>18</v>
      </c>
      <c r="K54" s="259"/>
      <c r="L54" s="259"/>
      <c r="M54" s="259"/>
      <c r="N54" s="20"/>
      <c r="O54" s="184">
        <f t="shared" si="40"/>
        <v>538.3</v>
      </c>
      <c r="P54" s="184">
        <f t="shared" si="41"/>
        <v>0</v>
      </c>
      <c r="Q54" s="184">
        <f t="shared" si="42"/>
        <v>0</v>
      </c>
      <c r="R54" s="297"/>
      <c r="S54" s="20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</row>
    <row r="55" spans="1:49" ht="15">
      <c r="A55" s="284" t="s">
        <v>186</v>
      </c>
      <c r="B55" s="220"/>
      <c r="C55" s="285">
        <f t="shared" si="35"/>
        <v>0</v>
      </c>
      <c r="D55" s="285">
        <f t="shared" si="35"/>
        <v>0</v>
      </c>
      <c r="E55" s="184">
        <f t="shared" si="1"/>
        <v>0</v>
      </c>
      <c r="F55" s="285">
        <f t="shared" si="36"/>
        <v>538.3</v>
      </c>
      <c r="G55" s="184">
        <f t="shared" si="34"/>
        <v>538.3</v>
      </c>
      <c r="H55" s="285">
        <f t="shared" si="37"/>
        <v>0</v>
      </c>
      <c r="I55" s="310">
        <f t="shared" si="38"/>
        <v>18</v>
      </c>
      <c r="J55" s="310">
        <f t="shared" si="39"/>
        <v>18</v>
      </c>
      <c r="K55" s="259"/>
      <c r="L55" s="259"/>
      <c r="M55" s="259"/>
      <c r="N55" s="264"/>
      <c r="O55" s="184">
        <f t="shared" si="40"/>
        <v>538.3</v>
      </c>
      <c r="P55" s="184">
        <f t="shared" si="41"/>
        <v>0</v>
      </c>
      <c r="Q55" s="184">
        <f t="shared" si="42"/>
        <v>0</v>
      </c>
      <c r="R55" s="297"/>
      <c r="S55" s="264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</row>
    <row r="56" spans="1:49" ht="12">
      <c r="A56" s="284" t="s">
        <v>187</v>
      </c>
      <c r="B56" s="220"/>
      <c r="C56" s="285">
        <f t="shared" si="35"/>
        <v>0</v>
      </c>
      <c r="D56" s="285">
        <f t="shared" si="35"/>
        <v>0</v>
      </c>
      <c r="E56" s="184">
        <f t="shared" si="1"/>
        <v>0</v>
      </c>
      <c r="F56" s="285">
        <f t="shared" si="36"/>
        <v>538.3</v>
      </c>
      <c r="G56" s="184">
        <f t="shared" si="34"/>
        <v>538.3</v>
      </c>
      <c r="H56" s="285">
        <f t="shared" si="37"/>
        <v>0</v>
      </c>
      <c r="I56" s="310">
        <f t="shared" si="38"/>
        <v>18</v>
      </c>
      <c r="J56" s="310">
        <f t="shared" si="39"/>
        <v>18</v>
      </c>
      <c r="K56" s="259"/>
      <c r="L56" s="259"/>
      <c r="M56" s="259"/>
      <c r="N56" s="20"/>
      <c r="O56" s="184">
        <f t="shared" si="40"/>
        <v>538.3</v>
      </c>
      <c r="P56" s="184">
        <f t="shared" si="41"/>
        <v>0</v>
      </c>
      <c r="Q56" s="184">
        <f t="shared" si="42"/>
        <v>0</v>
      </c>
      <c r="R56" s="297"/>
      <c r="S56" s="20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</row>
    <row r="57" spans="1:49" ht="15">
      <c r="A57" s="284" t="s">
        <v>188</v>
      </c>
      <c r="B57" s="220"/>
      <c r="C57" s="285">
        <f t="shared" si="35"/>
        <v>0</v>
      </c>
      <c r="D57" s="285">
        <f t="shared" si="35"/>
        <v>0</v>
      </c>
      <c r="E57" s="184">
        <f t="shared" si="1"/>
        <v>0</v>
      </c>
      <c r="F57" s="285">
        <f t="shared" si="36"/>
        <v>538.3</v>
      </c>
      <c r="G57" s="184">
        <f t="shared" si="34"/>
        <v>538.3</v>
      </c>
      <c r="H57" s="285">
        <f t="shared" si="37"/>
        <v>0</v>
      </c>
      <c r="I57" s="310">
        <f t="shared" si="38"/>
        <v>18</v>
      </c>
      <c r="J57" s="310">
        <f t="shared" si="39"/>
        <v>18</v>
      </c>
      <c r="K57" s="259"/>
      <c r="L57" s="259"/>
      <c r="M57" s="259"/>
      <c r="N57" s="264"/>
      <c r="O57" s="184">
        <f t="shared" si="40"/>
        <v>538.3</v>
      </c>
      <c r="P57" s="184">
        <f t="shared" si="41"/>
        <v>0</v>
      </c>
      <c r="Q57" s="184">
        <f t="shared" si="42"/>
        <v>0</v>
      </c>
      <c r="R57" s="297"/>
      <c r="S57" s="264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</row>
    <row r="58" spans="1:49" ht="12">
      <c r="A58" s="284" t="s">
        <v>189</v>
      </c>
      <c r="B58" s="220"/>
      <c r="C58" s="285">
        <f t="shared" si="35"/>
        <v>0</v>
      </c>
      <c r="D58" s="285">
        <f t="shared" si="35"/>
        <v>0</v>
      </c>
      <c r="E58" s="184">
        <f t="shared" si="1"/>
        <v>0</v>
      </c>
      <c r="F58" s="285">
        <f t="shared" si="36"/>
        <v>538.3</v>
      </c>
      <c r="G58" s="184">
        <f t="shared" si="34"/>
        <v>538.3</v>
      </c>
      <c r="H58" s="285">
        <f t="shared" si="37"/>
        <v>0</v>
      </c>
      <c r="I58" s="310">
        <f t="shared" si="38"/>
        <v>18</v>
      </c>
      <c r="J58" s="310">
        <f t="shared" si="39"/>
        <v>18</v>
      </c>
      <c r="K58" s="259"/>
      <c r="L58" s="259"/>
      <c r="M58" s="259"/>
      <c r="N58" s="20"/>
      <c r="O58" s="184">
        <f t="shared" si="40"/>
        <v>538.3</v>
      </c>
      <c r="P58" s="184">
        <f t="shared" si="41"/>
        <v>0</v>
      </c>
      <c r="Q58" s="184">
        <f t="shared" si="42"/>
        <v>0</v>
      </c>
      <c r="R58" s="297"/>
      <c r="S58" s="20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</row>
    <row r="59" spans="1:49" ht="15">
      <c r="A59" s="284" t="s">
        <v>190</v>
      </c>
      <c r="B59" s="220"/>
      <c r="C59" s="285">
        <f t="shared" si="35"/>
        <v>0</v>
      </c>
      <c r="D59" s="285">
        <f t="shared" si="35"/>
        <v>0</v>
      </c>
      <c r="E59" s="184">
        <f t="shared" si="1"/>
        <v>0</v>
      </c>
      <c r="F59" s="285">
        <f t="shared" si="36"/>
        <v>538.3</v>
      </c>
      <c r="G59" s="184">
        <f t="shared" si="34"/>
        <v>538.3</v>
      </c>
      <c r="H59" s="285">
        <f t="shared" si="37"/>
        <v>0</v>
      </c>
      <c r="I59" s="310">
        <f t="shared" si="38"/>
        <v>18</v>
      </c>
      <c r="J59" s="310">
        <f t="shared" si="39"/>
        <v>18</v>
      </c>
      <c r="K59" s="259"/>
      <c r="L59" s="259"/>
      <c r="M59" s="259"/>
      <c r="N59" s="264"/>
      <c r="O59" s="184">
        <f t="shared" si="40"/>
        <v>538.3</v>
      </c>
      <c r="P59" s="184">
        <f t="shared" si="41"/>
        <v>0</v>
      </c>
      <c r="Q59" s="184">
        <f t="shared" si="42"/>
        <v>0</v>
      </c>
      <c r="R59" s="297"/>
      <c r="S59" s="264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</row>
    <row r="60" spans="1:49" ht="12">
      <c r="A60" s="284" t="s">
        <v>191</v>
      </c>
      <c r="B60" s="220"/>
      <c r="C60" s="285">
        <f t="shared" si="35"/>
        <v>0</v>
      </c>
      <c r="D60" s="285">
        <f t="shared" si="35"/>
        <v>0</v>
      </c>
      <c r="E60" s="184">
        <f t="shared" si="1"/>
        <v>0</v>
      </c>
      <c r="F60" s="285">
        <f t="shared" si="36"/>
        <v>538.3</v>
      </c>
      <c r="G60" s="184">
        <f t="shared" si="34"/>
        <v>538.3</v>
      </c>
      <c r="H60" s="285">
        <f t="shared" si="37"/>
        <v>0</v>
      </c>
      <c r="I60" s="310">
        <f t="shared" si="38"/>
        <v>18</v>
      </c>
      <c r="J60" s="310">
        <f t="shared" si="39"/>
        <v>18</v>
      </c>
      <c r="K60" s="259"/>
      <c r="L60" s="259"/>
      <c r="M60" s="259"/>
      <c r="N60" s="20"/>
      <c r="O60" s="184">
        <f t="shared" si="40"/>
        <v>538.3</v>
      </c>
      <c r="P60" s="184">
        <f t="shared" si="41"/>
        <v>0</v>
      </c>
      <c r="Q60" s="184">
        <f t="shared" si="42"/>
        <v>0</v>
      </c>
      <c r="R60" s="297"/>
      <c r="S60" s="20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</row>
    <row r="61" spans="1:49" ht="15">
      <c r="A61" s="284" t="s">
        <v>192</v>
      </c>
      <c r="B61" s="220"/>
      <c r="C61" s="285">
        <f t="shared" si="35"/>
        <v>0</v>
      </c>
      <c r="D61" s="285">
        <f t="shared" si="35"/>
        <v>0</v>
      </c>
      <c r="E61" s="184">
        <f t="shared" si="1"/>
        <v>0</v>
      </c>
      <c r="F61" s="285">
        <f t="shared" si="36"/>
        <v>538.3</v>
      </c>
      <c r="G61" s="184">
        <f t="shared" si="34"/>
        <v>538.3</v>
      </c>
      <c r="H61" s="285">
        <f t="shared" si="37"/>
        <v>0</v>
      </c>
      <c r="I61" s="310">
        <f t="shared" si="38"/>
        <v>18</v>
      </c>
      <c r="J61" s="310">
        <f t="shared" si="39"/>
        <v>18</v>
      </c>
      <c r="K61" s="259"/>
      <c r="L61" s="259"/>
      <c r="M61" s="259"/>
      <c r="N61" s="264"/>
      <c r="O61" s="184">
        <f t="shared" si="40"/>
        <v>538.3</v>
      </c>
      <c r="P61" s="184">
        <f t="shared" si="41"/>
        <v>0</v>
      </c>
      <c r="Q61" s="184">
        <f t="shared" si="42"/>
        <v>0</v>
      </c>
      <c r="R61" s="297"/>
      <c r="S61" s="264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</row>
    <row r="62" spans="1:49" ht="12.75">
      <c r="A62" s="282">
        <f>A49+1</f>
        <v>1997</v>
      </c>
      <c r="B62" s="28"/>
      <c r="C62" s="28"/>
      <c r="D62" s="28"/>
      <c r="E62" s="306">
        <f>SUM(E63:E74)</f>
        <v>0</v>
      </c>
      <c r="F62" s="287"/>
      <c r="G62" s="283">
        <f>SUM(G63:G74)</f>
        <v>6459.600000000001</v>
      </c>
      <c r="H62" s="309">
        <f>SUM(H63:H74)</f>
        <v>0</v>
      </c>
      <c r="I62" s="311">
        <f>SUM(I63:I74)</f>
        <v>216</v>
      </c>
      <c r="J62" s="311">
        <f>SUM(J63:J74)</f>
        <v>216</v>
      </c>
      <c r="K62" s="259"/>
      <c r="L62" s="259"/>
      <c r="M62" s="259"/>
      <c r="N62" s="20"/>
      <c r="O62" s="136">
        <f>SUM(O63:O74)</f>
        <v>6459.600000000001</v>
      </c>
      <c r="P62" s="136">
        <f>SUM(P63:P74)</f>
        <v>0</v>
      </c>
      <c r="Q62" s="136">
        <f>SUM(Q63:Q74)</f>
        <v>0</v>
      </c>
      <c r="R62" s="136">
        <f>J62/I62</f>
        <v>1</v>
      </c>
      <c r="S62" s="20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</row>
    <row r="63" spans="1:49" ht="15">
      <c r="A63" s="284" t="s">
        <v>181</v>
      </c>
      <c r="B63" s="220"/>
      <c r="C63" s="285">
        <f>C61</f>
        <v>0</v>
      </c>
      <c r="D63" s="285">
        <f>D61</f>
        <v>0</v>
      </c>
      <c r="E63" s="184">
        <f t="shared" si="1"/>
        <v>0</v>
      </c>
      <c r="F63" s="285">
        <f>F61</f>
        <v>538.3</v>
      </c>
      <c r="G63" s="184">
        <f aca="true" t="shared" si="43" ref="G63:G74">SUM(E63:F63)</f>
        <v>538.3</v>
      </c>
      <c r="H63" s="285">
        <f>H61</f>
        <v>0</v>
      </c>
      <c r="I63" s="310">
        <f>I61</f>
        <v>18</v>
      </c>
      <c r="J63" s="310">
        <f>J61</f>
        <v>18</v>
      </c>
      <c r="K63" s="259"/>
      <c r="L63" s="259"/>
      <c r="M63" s="259"/>
      <c r="N63" s="264"/>
      <c r="O63" s="184">
        <f>G63/I63*J63</f>
        <v>538.3</v>
      </c>
      <c r="P63" s="184">
        <f>E63*0.18/I63*J63</f>
        <v>0</v>
      </c>
      <c r="Q63" s="184">
        <f>H63/I63*J63</f>
        <v>0</v>
      </c>
      <c r="R63" s="297"/>
      <c r="S63" s="264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</row>
    <row r="64" spans="1:49" ht="12">
      <c r="A64" s="284" t="s">
        <v>182</v>
      </c>
      <c r="B64" s="220"/>
      <c r="C64" s="285">
        <f aca="true" t="shared" si="44" ref="C64:D74">C63</f>
        <v>0</v>
      </c>
      <c r="D64" s="285">
        <f t="shared" si="44"/>
        <v>0</v>
      </c>
      <c r="E64" s="184">
        <f t="shared" si="1"/>
        <v>0</v>
      </c>
      <c r="F64" s="285">
        <f aca="true" t="shared" si="45" ref="F64:F74">F63</f>
        <v>538.3</v>
      </c>
      <c r="G64" s="184">
        <f t="shared" si="43"/>
        <v>538.3</v>
      </c>
      <c r="H64" s="285">
        <f aca="true" t="shared" si="46" ref="H64:H74">H63</f>
        <v>0</v>
      </c>
      <c r="I64" s="310">
        <f aca="true" t="shared" si="47" ref="I64:I74">I63</f>
        <v>18</v>
      </c>
      <c r="J64" s="310">
        <f aca="true" t="shared" si="48" ref="J64:J74">J63</f>
        <v>18</v>
      </c>
      <c r="K64" s="259"/>
      <c r="L64" s="259"/>
      <c r="M64" s="259"/>
      <c r="N64" s="20"/>
      <c r="O64" s="184">
        <f aca="true" t="shared" si="49" ref="O64:O74">G64/I64*J64</f>
        <v>538.3</v>
      </c>
      <c r="P64" s="184">
        <f aca="true" t="shared" si="50" ref="P64:P74">E64*0.18/I64*J64</f>
        <v>0</v>
      </c>
      <c r="Q64" s="184">
        <f aca="true" t="shared" si="51" ref="Q64:Q74">H64/I64*J64</f>
        <v>0</v>
      </c>
      <c r="R64" s="297"/>
      <c r="S64" s="20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</row>
    <row r="65" spans="1:49" ht="15">
      <c r="A65" s="284" t="s">
        <v>183</v>
      </c>
      <c r="B65" s="220"/>
      <c r="C65" s="285">
        <f t="shared" si="44"/>
        <v>0</v>
      </c>
      <c r="D65" s="285">
        <f t="shared" si="44"/>
        <v>0</v>
      </c>
      <c r="E65" s="184">
        <f t="shared" si="1"/>
        <v>0</v>
      </c>
      <c r="F65" s="285">
        <f t="shared" si="45"/>
        <v>538.3</v>
      </c>
      <c r="G65" s="184">
        <f t="shared" si="43"/>
        <v>538.3</v>
      </c>
      <c r="H65" s="285">
        <f t="shared" si="46"/>
        <v>0</v>
      </c>
      <c r="I65" s="310">
        <f t="shared" si="47"/>
        <v>18</v>
      </c>
      <c r="J65" s="310">
        <f t="shared" si="48"/>
        <v>18</v>
      </c>
      <c r="K65" s="259"/>
      <c r="L65" s="259"/>
      <c r="M65" s="259"/>
      <c r="N65" s="264"/>
      <c r="O65" s="184">
        <f t="shared" si="49"/>
        <v>538.3</v>
      </c>
      <c r="P65" s="184">
        <f t="shared" si="50"/>
        <v>0</v>
      </c>
      <c r="Q65" s="184">
        <f t="shared" si="51"/>
        <v>0</v>
      </c>
      <c r="R65" s="297"/>
      <c r="S65" s="264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</row>
    <row r="66" spans="1:49" ht="12">
      <c r="A66" s="284" t="s">
        <v>184</v>
      </c>
      <c r="B66" s="220"/>
      <c r="C66" s="285">
        <f t="shared" si="44"/>
        <v>0</v>
      </c>
      <c r="D66" s="285">
        <f t="shared" si="44"/>
        <v>0</v>
      </c>
      <c r="E66" s="184">
        <f t="shared" si="1"/>
        <v>0</v>
      </c>
      <c r="F66" s="285">
        <f t="shared" si="45"/>
        <v>538.3</v>
      </c>
      <c r="G66" s="184">
        <f t="shared" si="43"/>
        <v>538.3</v>
      </c>
      <c r="H66" s="285">
        <f t="shared" si="46"/>
        <v>0</v>
      </c>
      <c r="I66" s="310">
        <f t="shared" si="47"/>
        <v>18</v>
      </c>
      <c r="J66" s="310">
        <f t="shared" si="48"/>
        <v>18</v>
      </c>
      <c r="K66" s="259"/>
      <c r="L66" s="259"/>
      <c r="M66" s="259"/>
      <c r="N66" s="20"/>
      <c r="O66" s="184">
        <f t="shared" si="49"/>
        <v>538.3</v>
      </c>
      <c r="P66" s="184">
        <f t="shared" si="50"/>
        <v>0</v>
      </c>
      <c r="Q66" s="184">
        <f t="shared" si="51"/>
        <v>0</v>
      </c>
      <c r="R66" s="297"/>
      <c r="S66" s="20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</row>
    <row r="67" spans="1:49" ht="15">
      <c r="A67" s="284" t="s">
        <v>185</v>
      </c>
      <c r="B67" s="220"/>
      <c r="C67" s="285">
        <f t="shared" si="44"/>
        <v>0</v>
      </c>
      <c r="D67" s="285">
        <f t="shared" si="44"/>
        <v>0</v>
      </c>
      <c r="E67" s="184">
        <f t="shared" si="1"/>
        <v>0</v>
      </c>
      <c r="F67" s="285">
        <f t="shared" si="45"/>
        <v>538.3</v>
      </c>
      <c r="G67" s="184">
        <f t="shared" si="43"/>
        <v>538.3</v>
      </c>
      <c r="H67" s="285">
        <f t="shared" si="46"/>
        <v>0</v>
      </c>
      <c r="I67" s="310">
        <f t="shared" si="47"/>
        <v>18</v>
      </c>
      <c r="J67" s="310">
        <f t="shared" si="48"/>
        <v>18</v>
      </c>
      <c r="K67" s="259"/>
      <c r="L67" s="259"/>
      <c r="M67" s="259"/>
      <c r="N67" s="264"/>
      <c r="O67" s="184">
        <f t="shared" si="49"/>
        <v>538.3</v>
      </c>
      <c r="P67" s="184">
        <f t="shared" si="50"/>
        <v>0</v>
      </c>
      <c r="Q67" s="184">
        <f t="shared" si="51"/>
        <v>0</v>
      </c>
      <c r="R67" s="297"/>
      <c r="S67" s="264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</row>
    <row r="68" spans="1:49" ht="12">
      <c r="A68" s="284" t="s">
        <v>186</v>
      </c>
      <c r="B68" s="220"/>
      <c r="C68" s="285">
        <f t="shared" si="44"/>
        <v>0</v>
      </c>
      <c r="D68" s="285">
        <f t="shared" si="44"/>
        <v>0</v>
      </c>
      <c r="E68" s="184">
        <f t="shared" si="1"/>
        <v>0</v>
      </c>
      <c r="F68" s="285">
        <f t="shared" si="45"/>
        <v>538.3</v>
      </c>
      <c r="G68" s="184">
        <f t="shared" si="43"/>
        <v>538.3</v>
      </c>
      <c r="H68" s="285">
        <f t="shared" si="46"/>
        <v>0</v>
      </c>
      <c r="I68" s="310">
        <f t="shared" si="47"/>
        <v>18</v>
      </c>
      <c r="J68" s="310">
        <f t="shared" si="48"/>
        <v>18</v>
      </c>
      <c r="K68" s="259"/>
      <c r="L68" s="259"/>
      <c r="M68" s="259"/>
      <c r="N68" s="20"/>
      <c r="O68" s="184">
        <f t="shared" si="49"/>
        <v>538.3</v>
      </c>
      <c r="P68" s="184">
        <f t="shared" si="50"/>
        <v>0</v>
      </c>
      <c r="Q68" s="184">
        <f t="shared" si="51"/>
        <v>0</v>
      </c>
      <c r="R68" s="297"/>
      <c r="S68" s="20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</row>
    <row r="69" spans="1:49" ht="15">
      <c r="A69" s="284" t="s">
        <v>187</v>
      </c>
      <c r="B69" s="220"/>
      <c r="C69" s="285">
        <f t="shared" si="44"/>
        <v>0</v>
      </c>
      <c r="D69" s="285">
        <f t="shared" si="44"/>
        <v>0</v>
      </c>
      <c r="E69" s="184">
        <f t="shared" si="1"/>
        <v>0</v>
      </c>
      <c r="F69" s="285">
        <f t="shared" si="45"/>
        <v>538.3</v>
      </c>
      <c r="G69" s="184">
        <f t="shared" si="43"/>
        <v>538.3</v>
      </c>
      <c r="H69" s="285">
        <f t="shared" si="46"/>
        <v>0</v>
      </c>
      <c r="I69" s="310">
        <f t="shared" si="47"/>
        <v>18</v>
      </c>
      <c r="J69" s="310">
        <f t="shared" si="48"/>
        <v>18</v>
      </c>
      <c r="K69" s="259"/>
      <c r="L69" s="259"/>
      <c r="M69" s="259"/>
      <c r="N69" s="264"/>
      <c r="O69" s="184">
        <f t="shared" si="49"/>
        <v>538.3</v>
      </c>
      <c r="P69" s="184">
        <f t="shared" si="50"/>
        <v>0</v>
      </c>
      <c r="Q69" s="184">
        <f t="shared" si="51"/>
        <v>0</v>
      </c>
      <c r="R69" s="297"/>
      <c r="S69" s="264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</row>
    <row r="70" spans="1:49" ht="12">
      <c r="A70" s="284" t="s">
        <v>188</v>
      </c>
      <c r="B70" s="220"/>
      <c r="C70" s="285">
        <f t="shared" si="44"/>
        <v>0</v>
      </c>
      <c r="D70" s="285">
        <f t="shared" si="44"/>
        <v>0</v>
      </c>
      <c r="E70" s="184">
        <f t="shared" si="1"/>
        <v>0</v>
      </c>
      <c r="F70" s="285">
        <f t="shared" si="45"/>
        <v>538.3</v>
      </c>
      <c r="G70" s="184">
        <f t="shared" si="43"/>
        <v>538.3</v>
      </c>
      <c r="H70" s="285">
        <f t="shared" si="46"/>
        <v>0</v>
      </c>
      <c r="I70" s="310">
        <f t="shared" si="47"/>
        <v>18</v>
      </c>
      <c r="J70" s="310">
        <f t="shared" si="48"/>
        <v>18</v>
      </c>
      <c r="K70" s="259"/>
      <c r="L70" s="259"/>
      <c r="M70" s="259"/>
      <c r="N70" s="20"/>
      <c r="O70" s="184">
        <f t="shared" si="49"/>
        <v>538.3</v>
      </c>
      <c r="P70" s="184">
        <f t="shared" si="50"/>
        <v>0</v>
      </c>
      <c r="Q70" s="184">
        <f t="shared" si="51"/>
        <v>0</v>
      </c>
      <c r="R70" s="297"/>
      <c r="S70" s="20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</row>
    <row r="71" spans="1:49" ht="15">
      <c r="A71" s="284" t="s">
        <v>189</v>
      </c>
      <c r="B71" s="220"/>
      <c r="C71" s="285">
        <f t="shared" si="44"/>
        <v>0</v>
      </c>
      <c r="D71" s="285">
        <f t="shared" si="44"/>
        <v>0</v>
      </c>
      <c r="E71" s="184">
        <f t="shared" si="1"/>
        <v>0</v>
      </c>
      <c r="F71" s="285">
        <f t="shared" si="45"/>
        <v>538.3</v>
      </c>
      <c r="G71" s="184">
        <f t="shared" si="43"/>
        <v>538.3</v>
      </c>
      <c r="H71" s="285">
        <f t="shared" si="46"/>
        <v>0</v>
      </c>
      <c r="I71" s="310">
        <f t="shared" si="47"/>
        <v>18</v>
      </c>
      <c r="J71" s="310">
        <f t="shared" si="48"/>
        <v>18</v>
      </c>
      <c r="K71" s="259"/>
      <c r="L71" s="259"/>
      <c r="M71" s="259"/>
      <c r="N71" s="264"/>
      <c r="O71" s="184">
        <f t="shared" si="49"/>
        <v>538.3</v>
      </c>
      <c r="P71" s="184">
        <f t="shared" si="50"/>
        <v>0</v>
      </c>
      <c r="Q71" s="184">
        <f t="shared" si="51"/>
        <v>0</v>
      </c>
      <c r="R71" s="297"/>
      <c r="S71" s="264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</row>
    <row r="72" spans="1:49" ht="12">
      <c r="A72" s="284" t="s">
        <v>190</v>
      </c>
      <c r="B72" s="220"/>
      <c r="C72" s="285">
        <f t="shared" si="44"/>
        <v>0</v>
      </c>
      <c r="D72" s="285">
        <f t="shared" si="44"/>
        <v>0</v>
      </c>
      <c r="E72" s="184">
        <f t="shared" si="1"/>
        <v>0</v>
      </c>
      <c r="F72" s="285">
        <f t="shared" si="45"/>
        <v>538.3</v>
      </c>
      <c r="G72" s="184">
        <f t="shared" si="43"/>
        <v>538.3</v>
      </c>
      <c r="H72" s="285">
        <f t="shared" si="46"/>
        <v>0</v>
      </c>
      <c r="I72" s="310">
        <f t="shared" si="47"/>
        <v>18</v>
      </c>
      <c r="J72" s="310">
        <f t="shared" si="48"/>
        <v>18</v>
      </c>
      <c r="K72" s="259"/>
      <c r="L72" s="259"/>
      <c r="M72" s="259"/>
      <c r="N72" s="20"/>
      <c r="O72" s="184">
        <f t="shared" si="49"/>
        <v>538.3</v>
      </c>
      <c r="P72" s="184">
        <f t="shared" si="50"/>
        <v>0</v>
      </c>
      <c r="Q72" s="184">
        <f t="shared" si="51"/>
        <v>0</v>
      </c>
      <c r="R72" s="297"/>
      <c r="S72" s="20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</row>
    <row r="73" spans="1:49" ht="15">
      <c r="A73" s="284" t="s">
        <v>191</v>
      </c>
      <c r="B73" s="220"/>
      <c r="C73" s="285">
        <f t="shared" si="44"/>
        <v>0</v>
      </c>
      <c r="D73" s="285">
        <f t="shared" si="44"/>
        <v>0</v>
      </c>
      <c r="E73" s="184">
        <f t="shared" si="1"/>
        <v>0</v>
      </c>
      <c r="F73" s="285">
        <f t="shared" si="45"/>
        <v>538.3</v>
      </c>
      <c r="G73" s="184">
        <f t="shared" si="43"/>
        <v>538.3</v>
      </c>
      <c r="H73" s="285">
        <f t="shared" si="46"/>
        <v>0</v>
      </c>
      <c r="I73" s="310">
        <f t="shared" si="47"/>
        <v>18</v>
      </c>
      <c r="J73" s="310">
        <f t="shared" si="48"/>
        <v>18</v>
      </c>
      <c r="K73" s="259"/>
      <c r="L73" s="259"/>
      <c r="M73" s="259"/>
      <c r="N73" s="264"/>
      <c r="O73" s="184">
        <f t="shared" si="49"/>
        <v>538.3</v>
      </c>
      <c r="P73" s="184">
        <f t="shared" si="50"/>
        <v>0</v>
      </c>
      <c r="Q73" s="184">
        <f t="shared" si="51"/>
        <v>0</v>
      </c>
      <c r="R73" s="297"/>
      <c r="S73" s="264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</row>
    <row r="74" spans="1:49" ht="12">
      <c r="A74" s="284" t="s">
        <v>192</v>
      </c>
      <c r="B74" s="220"/>
      <c r="C74" s="285">
        <f t="shared" si="44"/>
        <v>0</v>
      </c>
      <c r="D74" s="285">
        <f t="shared" si="44"/>
        <v>0</v>
      </c>
      <c r="E74" s="184">
        <f t="shared" si="1"/>
        <v>0</v>
      </c>
      <c r="F74" s="285">
        <f t="shared" si="45"/>
        <v>538.3</v>
      </c>
      <c r="G74" s="184">
        <f t="shared" si="43"/>
        <v>538.3</v>
      </c>
      <c r="H74" s="285">
        <f t="shared" si="46"/>
        <v>0</v>
      </c>
      <c r="I74" s="310">
        <f t="shared" si="47"/>
        <v>18</v>
      </c>
      <c r="J74" s="310">
        <f t="shared" si="48"/>
        <v>18</v>
      </c>
      <c r="K74" s="259"/>
      <c r="L74" s="259"/>
      <c r="M74" s="259"/>
      <c r="N74" s="20"/>
      <c r="O74" s="184">
        <f t="shared" si="49"/>
        <v>538.3</v>
      </c>
      <c r="P74" s="184">
        <f t="shared" si="50"/>
        <v>0</v>
      </c>
      <c r="Q74" s="184">
        <f t="shared" si="51"/>
        <v>0</v>
      </c>
      <c r="R74" s="297"/>
      <c r="S74" s="20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</row>
    <row r="75" spans="1:49" ht="15">
      <c r="A75" s="282">
        <f>A62+1</f>
        <v>1998</v>
      </c>
      <c r="B75" s="28"/>
      <c r="C75" s="28"/>
      <c r="D75" s="28"/>
      <c r="E75" s="306">
        <f>SUM(E76:E87)</f>
        <v>0</v>
      </c>
      <c r="F75" s="287"/>
      <c r="G75" s="283">
        <f>SUM(G76:G87)</f>
        <v>6459.600000000001</v>
      </c>
      <c r="H75" s="309">
        <f>SUM(H76:H87)</f>
        <v>0</v>
      </c>
      <c r="I75" s="311">
        <f>SUM(I76:I87)</f>
        <v>216</v>
      </c>
      <c r="J75" s="311">
        <f>SUM(J76:J87)</f>
        <v>216</v>
      </c>
      <c r="K75" s="259"/>
      <c r="L75" s="259"/>
      <c r="M75" s="259"/>
      <c r="N75" s="264"/>
      <c r="O75" s="136">
        <f>SUM(O76:O87)</f>
        <v>6459.600000000001</v>
      </c>
      <c r="P75" s="136">
        <f>SUM(P76:P87)</f>
        <v>0</v>
      </c>
      <c r="Q75" s="136">
        <f>SUM(Q76:Q87)</f>
        <v>0</v>
      </c>
      <c r="R75" s="136">
        <f>J75/I75</f>
        <v>1</v>
      </c>
      <c r="S75" s="264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</row>
    <row r="76" spans="1:49" ht="12">
      <c r="A76" s="284" t="s">
        <v>181</v>
      </c>
      <c r="B76" s="220"/>
      <c r="C76" s="285">
        <f>C74</f>
        <v>0</v>
      </c>
      <c r="D76" s="285">
        <f>D74</f>
        <v>0</v>
      </c>
      <c r="E76" s="184">
        <f t="shared" si="1"/>
        <v>0</v>
      </c>
      <c r="F76" s="285">
        <f>F74</f>
        <v>538.3</v>
      </c>
      <c r="G76" s="184">
        <f aca="true" t="shared" si="52" ref="G76:G87">SUM(E76:F76)</f>
        <v>538.3</v>
      </c>
      <c r="H76" s="285">
        <f>H74</f>
        <v>0</v>
      </c>
      <c r="I76" s="310">
        <f>I74</f>
        <v>18</v>
      </c>
      <c r="J76" s="310">
        <f>J74</f>
        <v>18</v>
      </c>
      <c r="K76" s="259"/>
      <c r="L76" s="259"/>
      <c r="M76" s="259"/>
      <c r="N76" s="20"/>
      <c r="O76" s="184">
        <f>G76/I76*J76</f>
        <v>538.3</v>
      </c>
      <c r="P76" s="184">
        <f>E76*0.18/I76*J76</f>
        <v>0</v>
      </c>
      <c r="Q76" s="184">
        <f>H76/I76*J76</f>
        <v>0</v>
      </c>
      <c r="R76" s="297"/>
      <c r="S76" s="20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</row>
    <row r="77" spans="1:49" ht="15">
      <c r="A77" s="284" t="s">
        <v>182</v>
      </c>
      <c r="B77" s="220"/>
      <c r="C77" s="285">
        <f aca="true" t="shared" si="53" ref="C77:D87">C76</f>
        <v>0</v>
      </c>
      <c r="D77" s="285">
        <f t="shared" si="53"/>
        <v>0</v>
      </c>
      <c r="E77" s="184">
        <f aca="true" t="shared" si="54" ref="E77:E87">C77+D77</f>
        <v>0</v>
      </c>
      <c r="F77" s="285">
        <f aca="true" t="shared" si="55" ref="F77:F87">F76</f>
        <v>538.3</v>
      </c>
      <c r="G77" s="184">
        <f t="shared" si="52"/>
        <v>538.3</v>
      </c>
      <c r="H77" s="285">
        <f aca="true" t="shared" si="56" ref="H77:H87">H76</f>
        <v>0</v>
      </c>
      <c r="I77" s="310">
        <f aca="true" t="shared" si="57" ref="I77:I87">I76</f>
        <v>18</v>
      </c>
      <c r="J77" s="310">
        <f aca="true" t="shared" si="58" ref="J77:J87">J76</f>
        <v>18</v>
      </c>
      <c r="K77" s="259"/>
      <c r="L77" s="259"/>
      <c r="M77" s="259"/>
      <c r="N77" s="264"/>
      <c r="O77" s="184">
        <f aca="true" t="shared" si="59" ref="O77:O87">G77/I77*J77</f>
        <v>538.3</v>
      </c>
      <c r="P77" s="184">
        <f aca="true" t="shared" si="60" ref="P77:P87">E77*0.18/I77*J77</f>
        <v>0</v>
      </c>
      <c r="Q77" s="184">
        <f aca="true" t="shared" si="61" ref="Q77:Q87">H77/I77*J77</f>
        <v>0</v>
      </c>
      <c r="R77" s="297"/>
      <c r="S77" s="264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</row>
    <row r="78" spans="1:49" ht="12">
      <c r="A78" s="284" t="s">
        <v>183</v>
      </c>
      <c r="B78" s="220"/>
      <c r="C78" s="285">
        <f t="shared" si="53"/>
        <v>0</v>
      </c>
      <c r="D78" s="285">
        <f t="shared" si="53"/>
        <v>0</v>
      </c>
      <c r="E78" s="184">
        <f t="shared" si="54"/>
        <v>0</v>
      </c>
      <c r="F78" s="285">
        <f t="shared" si="55"/>
        <v>538.3</v>
      </c>
      <c r="G78" s="184">
        <f t="shared" si="52"/>
        <v>538.3</v>
      </c>
      <c r="H78" s="285">
        <f t="shared" si="56"/>
        <v>0</v>
      </c>
      <c r="I78" s="310">
        <f t="shared" si="57"/>
        <v>18</v>
      </c>
      <c r="J78" s="310">
        <f t="shared" si="58"/>
        <v>18</v>
      </c>
      <c r="K78" s="259"/>
      <c r="L78" s="259"/>
      <c r="M78" s="259"/>
      <c r="N78" s="20"/>
      <c r="O78" s="184">
        <f t="shared" si="59"/>
        <v>538.3</v>
      </c>
      <c r="P78" s="184">
        <f t="shared" si="60"/>
        <v>0</v>
      </c>
      <c r="Q78" s="184">
        <f t="shared" si="61"/>
        <v>0</v>
      </c>
      <c r="R78" s="297"/>
      <c r="S78" s="20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</row>
    <row r="79" spans="1:49" ht="15">
      <c r="A79" s="284" t="s">
        <v>184</v>
      </c>
      <c r="B79" s="220"/>
      <c r="C79" s="285">
        <f t="shared" si="53"/>
        <v>0</v>
      </c>
      <c r="D79" s="285">
        <f t="shared" si="53"/>
        <v>0</v>
      </c>
      <c r="E79" s="184">
        <f t="shared" si="54"/>
        <v>0</v>
      </c>
      <c r="F79" s="285">
        <f t="shared" si="55"/>
        <v>538.3</v>
      </c>
      <c r="G79" s="184">
        <f t="shared" si="52"/>
        <v>538.3</v>
      </c>
      <c r="H79" s="285">
        <f t="shared" si="56"/>
        <v>0</v>
      </c>
      <c r="I79" s="310">
        <f t="shared" si="57"/>
        <v>18</v>
      </c>
      <c r="J79" s="310">
        <f t="shared" si="58"/>
        <v>18</v>
      </c>
      <c r="K79" s="259"/>
      <c r="L79" s="259"/>
      <c r="M79" s="259"/>
      <c r="N79" s="264"/>
      <c r="O79" s="184">
        <f t="shared" si="59"/>
        <v>538.3</v>
      </c>
      <c r="P79" s="184">
        <f t="shared" si="60"/>
        <v>0</v>
      </c>
      <c r="Q79" s="184">
        <f t="shared" si="61"/>
        <v>0</v>
      </c>
      <c r="R79" s="297"/>
      <c r="S79" s="264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</row>
    <row r="80" spans="1:49" ht="12">
      <c r="A80" s="284" t="s">
        <v>185</v>
      </c>
      <c r="B80" s="220"/>
      <c r="C80" s="285">
        <f t="shared" si="53"/>
        <v>0</v>
      </c>
      <c r="D80" s="285">
        <f t="shared" si="53"/>
        <v>0</v>
      </c>
      <c r="E80" s="184">
        <f t="shared" si="54"/>
        <v>0</v>
      </c>
      <c r="F80" s="285">
        <f t="shared" si="55"/>
        <v>538.3</v>
      </c>
      <c r="G80" s="184">
        <f t="shared" si="52"/>
        <v>538.3</v>
      </c>
      <c r="H80" s="285">
        <f t="shared" si="56"/>
        <v>0</v>
      </c>
      <c r="I80" s="310">
        <f t="shared" si="57"/>
        <v>18</v>
      </c>
      <c r="J80" s="310">
        <f t="shared" si="58"/>
        <v>18</v>
      </c>
      <c r="K80" s="259"/>
      <c r="L80" s="259"/>
      <c r="M80" s="259"/>
      <c r="N80" s="20"/>
      <c r="O80" s="184">
        <f t="shared" si="59"/>
        <v>538.3</v>
      </c>
      <c r="P80" s="184">
        <f t="shared" si="60"/>
        <v>0</v>
      </c>
      <c r="Q80" s="184">
        <f t="shared" si="61"/>
        <v>0</v>
      </c>
      <c r="R80" s="297"/>
      <c r="S80" s="20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</row>
    <row r="81" spans="1:49" ht="15">
      <c r="A81" s="284" t="s">
        <v>186</v>
      </c>
      <c r="B81" s="220"/>
      <c r="C81" s="285">
        <f t="shared" si="53"/>
        <v>0</v>
      </c>
      <c r="D81" s="285">
        <f t="shared" si="53"/>
        <v>0</v>
      </c>
      <c r="E81" s="184">
        <f t="shared" si="54"/>
        <v>0</v>
      </c>
      <c r="F81" s="285">
        <f t="shared" si="55"/>
        <v>538.3</v>
      </c>
      <c r="G81" s="184">
        <f t="shared" si="52"/>
        <v>538.3</v>
      </c>
      <c r="H81" s="285">
        <f t="shared" si="56"/>
        <v>0</v>
      </c>
      <c r="I81" s="310">
        <f t="shared" si="57"/>
        <v>18</v>
      </c>
      <c r="J81" s="310">
        <f t="shared" si="58"/>
        <v>18</v>
      </c>
      <c r="K81" s="259"/>
      <c r="L81" s="259"/>
      <c r="M81" s="259"/>
      <c r="N81" s="264"/>
      <c r="O81" s="184">
        <f t="shared" si="59"/>
        <v>538.3</v>
      </c>
      <c r="P81" s="184">
        <f t="shared" si="60"/>
        <v>0</v>
      </c>
      <c r="Q81" s="184">
        <f t="shared" si="61"/>
        <v>0</v>
      </c>
      <c r="R81" s="297"/>
      <c r="S81" s="264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</row>
    <row r="82" spans="1:49" ht="12">
      <c r="A82" s="284" t="s">
        <v>187</v>
      </c>
      <c r="B82" s="220"/>
      <c r="C82" s="285">
        <f t="shared" si="53"/>
        <v>0</v>
      </c>
      <c r="D82" s="285">
        <f t="shared" si="53"/>
        <v>0</v>
      </c>
      <c r="E82" s="184">
        <f t="shared" si="54"/>
        <v>0</v>
      </c>
      <c r="F82" s="285">
        <f t="shared" si="55"/>
        <v>538.3</v>
      </c>
      <c r="G82" s="184">
        <f t="shared" si="52"/>
        <v>538.3</v>
      </c>
      <c r="H82" s="285">
        <f t="shared" si="56"/>
        <v>0</v>
      </c>
      <c r="I82" s="310">
        <f t="shared" si="57"/>
        <v>18</v>
      </c>
      <c r="J82" s="310">
        <f t="shared" si="58"/>
        <v>18</v>
      </c>
      <c r="K82" s="259"/>
      <c r="L82" s="259"/>
      <c r="M82" s="259"/>
      <c r="N82" s="20"/>
      <c r="O82" s="184">
        <f t="shared" si="59"/>
        <v>538.3</v>
      </c>
      <c r="P82" s="184">
        <f t="shared" si="60"/>
        <v>0</v>
      </c>
      <c r="Q82" s="184">
        <f t="shared" si="61"/>
        <v>0</v>
      </c>
      <c r="R82" s="297"/>
      <c r="S82" s="20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</row>
    <row r="83" spans="1:49" ht="15">
      <c r="A83" s="284" t="s">
        <v>188</v>
      </c>
      <c r="B83" s="220"/>
      <c r="C83" s="285">
        <f t="shared" si="53"/>
        <v>0</v>
      </c>
      <c r="D83" s="285">
        <f t="shared" si="53"/>
        <v>0</v>
      </c>
      <c r="E83" s="184">
        <f t="shared" si="54"/>
        <v>0</v>
      </c>
      <c r="F83" s="285">
        <f t="shared" si="55"/>
        <v>538.3</v>
      </c>
      <c r="G83" s="184">
        <f t="shared" si="52"/>
        <v>538.3</v>
      </c>
      <c r="H83" s="285">
        <f t="shared" si="56"/>
        <v>0</v>
      </c>
      <c r="I83" s="310">
        <f t="shared" si="57"/>
        <v>18</v>
      </c>
      <c r="J83" s="310">
        <f t="shared" si="58"/>
        <v>18</v>
      </c>
      <c r="K83" s="259"/>
      <c r="L83" s="259"/>
      <c r="M83" s="259"/>
      <c r="N83" s="264"/>
      <c r="O83" s="184">
        <f t="shared" si="59"/>
        <v>538.3</v>
      </c>
      <c r="P83" s="184">
        <f t="shared" si="60"/>
        <v>0</v>
      </c>
      <c r="Q83" s="184">
        <f t="shared" si="61"/>
        <v>0</v>
      </c>
      <c r="R83" s="297"/>
      <c r="S83" s="264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</row>
    <row r="84" spans="1:49" ht="12">
      <c r="A84" s="284" t="s">
        <v>189</v>
      </c>
      <c r="B84" s="220"/>
      <c r="C84" s="285">
        <f t="shared" si="53"/>
        <v>0</v>
      </c>
      <c r="D84" s="285">
        <f t="shared" si="53"/>
        <v>0</v>
      </c>
      <c r="E84" s="184">
        <f t="shared" si="54"/>
        <v>0</v>
      </c>
      <c r="F84" s="285">
        <f t="shared" si="55"/>
        <v>538.3</v>
      </c>
      <c r="G84" s="184">
        <f t="shared" si="52"/>
        <v>538.3</v>
      </c>
      <c r="H84" s="285">
        <f t="shared" si="56"/>
        <v>0</v>
      </c>
      <c r="I84" s="310">
        <f t="shared" si="57"/>
        <v>18</v>
      </c>
      <c r="J84" s="310">
        <f t="shared" si="58"/>
        <v>18</v>
      </c>
      <c r="K84" s="259"/>
      <c r="L84" s="259"/>
      <c r="M84" s="259"/>
      <c r="N84" s="20"/>
      <c r="O84" s="184">
        <f t="shared" si="59"/>
        <v>538.3</v>
      </c>
      <c r="P84" s="184">
        <f t="shared" si="60"/>
        <v>0</v>
      </c>
      <c r="Q84" s="184">
        <f t="shared" si="61"/>
        <v>0</v>
      </c>
      <c r="R84" s="297"/>
      <c r="S84" s="20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</row>
    <row r="85" spans="1:49" ht="15">
      <c r="A85" s="284" t="s">
        <v>190</v>
      </c>
      <c r="B85" s="220"/>
      <c r="C85" s="285">
        <f t="shared" si="53"/>
        <v>0</v>
      </c>
      <c r="D85" s="285">
        <f t="shared" si="53"/>
        <v>0</v>
      </c>
      <c r="E85" s="184">
        <f t="shared" si="54"/>
        <v>0</v>
      </c>
      <c r="F85" s="285">
        <f t="shared" si="55"/>
        <v>538.3</v>
      </c>
      <c r="G85" s="184">
        <f t="shared" si="52"/>
        <v>538.3</v>
      </c>
      <c r="H85" s="285">
        <f t="shared" si="56"/>
        <v>0</v>
      </c>
      <c r="I85" s="310">
        <f t="shared" si="57"/>
        <v>18</v>
      </c>
      <c r="J85" s="310">
        <f t="shared" si="58"/>
        <v>18</v>
      </c>
      <c r="K85" s="259"/>
      <c r="L85" s="259"/>
      <c r="M85" s="259"/>
      <c r="N85" s="264"/>
      <c r="O85" s="184">
        <f t="shared" si="59"/>
        <v>538.3</v>
      </c>
      <c r="P85" s="184">
        <f t="shared" si="60"/>
        <v>0</v>
      </c>
      <c r="Q85" s="184">
        <f t="shared" si="61"/>
        <v>0</v>
      </c>
      <c r="R85" s="297"/>
      <c r="S85" s="264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</row>
    <row r="86" spans="1:49" ht="12">
      <c r="A86" s="284" t="s">
        <v>191</v>
      </c>
      <c r="B86" s="220"/>
      <c r="C86" s="285">
        <f t="shared" si="53"/>
        <v>0</v>
      </c>
      <c r="D86" s="285">
        <f t="shared" si="53"/>
        <v>0</v>
      </c>
      <c r="E86" s="184">
        <f t="shared" si="54"/>
        <v>0</v>
      </c>
      <c r="F86" s="285">
        <f t="shared" si="55"/>
        <v>538.3</v>
      </c>
      <c r="G86" s="184">
        <f t="shared" si="52"/>
        <v>538.3</v>
      </c>
      <c r="H86" s="285">
        <f t="shared" si="56"/>
        <v>0</v>
      </c>
      <c r="I86" s="310">
        <f t="shared" si="57"/>
        <v>18</v>
      </c>
      <c r="J86" s="310">
        <f t="shared" si="58"/>
        <v>18</v>
      </c>
      <c r="K86" s="259"/>
      <c r="L86" s="259"/>
      <c r="M86" s="259"/>
      <c r="N86" s="20"/>
      <c r="O86" s="184">
        <f t="shared" si="59"/>
        <v>538.3</v>
      </c>
      <c r="P86" s="184">
        <f t="shared" si="60"/>
        <v>0</v>
      </c>
      <c r="Q86" s="184">
        <f t="shared" si="61"/>
        <v>0</v>
      </c>
      <c r="R86" s="297"/>
      <c r="S86" s="20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</row>
    <row r="87" spans="1:49" ht="15">
      <c r="A87" s="284" t="s">
        <v>192</v>
      </c>
      <c r="B87" s="220"/>
      <c r="C87" s="285">
        <f t="shared" si="53"/>
        <v>0</v>
      </c>
      <c r="D87" s="285">
        <f t="shared" si="53"/>
        <v>0</v>
      </c>
      <c r="E87" s="184">
        <f t="shared" si="54"/>
        <v>0</v>
      </c>
      <c r="F87" s="285">
        <f t="shared" si="55"/>
        <v>538.3</v>
      </c>
      <c r="G87" s="184">
        <f t="shared" si="52"/>
        <v>538.3</v>
      </c>
      <c r="H87" s="285">
        <f t="shared" si="56"/>
        <v>0</v>
      </c>
      <c r="I87" s="310">
        <f t="shared" si="57"/>
        <v>18</v>
      </c>
      <c r="J87" s="310">
        <f t="shared" si="58"/>
        <v>18</v>
      </c>
      <c r="K87" s="259"/>
      <c r="L87" s="259"/>
      <c r="M87" s="259"/>
      <c r="N87" s="264"/>
      <c r="O87" s="184">
        <f t="shared" si="59"/>
        <v>538.3</v>
      </c>
      <c r="P87" s="184">
        <f t="shared" si="60"/>
        <v>0</v>
      </c>
      <c r="Q87" s="184">
        <f t="shared" si="61"/>
        <v>0</v>
      </c>
      <c r="R87" s="297"/>
      <c r="S87" s="264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</row>
    <row r="88" spans="1:49" ht="12.75">
      <c r="A88" s="282">
        <f>A75+1</f>
        <v>1999</v>
      </c>
      <c r="B88" s="28"/>
      <c r="C88" s="28"/>
      <c r="D88" s="28"/>
      <c r="E88" s="306">
        <f>SUM(E89:E100)</f>
        <v>0</v>
      </c>
      <c r="F88" s="287"/>
      <c r="G88" s="283">
        <f>SUM(G89:G100)</f>
        <v>6459.600000000001</v>
      </c>
      <c r="H88" s="309">
        <f>SUM(H89:H100)</f>
        <v>0</v>
      </c>
      <c r="I88" s="311">
        <f>SUM(I89:I100)</f>
        <v>216</v>
      </c>
      <c r="J88" s="311">
        <f>SUM(J89:J100)</f>
        <v>216</v>
      </c>
      <c r="K88" s="259"/>
      <c r="L88" s="259"/>
      <c r="M88" s="259"/>
      <c r="N88" s="20"/>
      <c r="O88" s="136">
        <f>SUM(O89:O100)</f>
        <v>6459.600000000001</v>
      </c>
      <c r="P88" s="136">
        <f>SUM(P89:P100)</f>
        <v>0</v>
      </c>
      <c r="Q88" s="136">
        <f>SUM(Q89:Q100)</f>
        <v>0</v>
      </c>
      <c r="R88" s="136">
        <f>J88/I88</f>
        <v>1</v>
      </c>
      <c r="S88" s="20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</row>
    <row r="89" spans="1:49" ht="15">
      <c r="A89" s="284" t="s">
        <v>181</v>
      </c>
      <c r="B89" s="220"/>
      <c r="C89" s="285">
        <f>C87</f>
        <v>0</v>
      </c>
      <c r="D89" s="285">
        <f>D87</f>
        <v>0</v>
      </c>
      <c r="E89" s="184">
        <f aca="true" t="shared" si="62" ref="E89:E100">C89+D89</f>
        <v>0</v>
      </c>
      <c r="F89" s="285">
        <f>F87</f>
        <v>538.3</v>
      </c>
      <c r="G89" s="184">
        <f aca="true" t="shared" si="63" ref="G89:G100">SUM(E89:F89)</f>
        <v>538.3</v>
      </c>
      <c r="H89" s="285">
        <f>H87</f>
        <v>0</v>
      </c>
      <c r="I89" s="310">
        <f>I87</f>
        <v>18</v>
      </c>
      <c r="J89" s="310">
        <f>J87</f>
        <v>18</v>
      </c>
      <c r="K89" s="259"/>
      <c r="L89" s="259"/>
      <c r="M89" s="259"/>
      <c r="N89" s="264"/>
      <c r="O89" s="184">
        <f>G89/I89*J89</f>
        <v>538.3</v>
      </c>
      <c r="P89" s="184">
        <f>E89*0.18/I89*J89</f>
        <v>0</v>
      </c>
      <c r="Q89" s="184">
        <f>H89/I89*J89</f>
        <v>0</v>
      </c>
      <c r="R89" s="297"/>
      <c r="S89" s="264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</row>
    <row r="90" spans="1:49" ht="12">
      <c r="A90" s="284" t="s">
        <v>182</v>
      </c>
      <c r="B90" s="220"/>
      <c r="C90" s="285">
        <f aca="true" t="shared" si="64" ref="C90:D100">C89</f>
        <v>0</v>
      </c>
      <c r="D90" s="285">
        <f t="shared" si="64"/>
        <v>0</v>
      </c>
      <c r="E90" s="184">
        <f t="shared" si="62"/>
        <v>0</v>
      </c>
      <c r="F90" s="285">
        <f aca="true" t="shared" si="65" ref="F90:F100">F89</f>
        <v>538.3</v>
      </c>
      <c r="G90" s="184">
        <f t="shared" si="63"/>
        <v>538.3</v>
      </c>
      <c r="H90" s="285">
        <f aca="true" t="shared" si="66" ref="H90:H100">H89</f>
        <v>0</v>
      </c>
      <c r="I90" s="310">
        <f aca="true" t="shared" si="67" ref="I90:I100">I89</f>
        <v>18</v>
      </c>
      <c r="J90" s="310">
        <f aca="true" t="shared" si="68" ref="J90:J100">J89</f>
        <v>18</v>
      </c>
      <c r="K90" s="259"/>
      <c r="L90" s="259"/>
      <c r="M90" s="259"/>
      <c r="N90" s="20"/>
      <c r="O90" s="184">
        <f aca="true" t="shared" si="69" ref="O90:O100">G90/I90*J90</f>
        <v>538.3</v>
      </c>
      <c r="P90" s="184">
        <f aca="true" t="shared" si="70" ref="P90:P100">E90*0.18/I90*J90</f>
        <v>0</v>
      </c>
      <c r="Q90" s="184">
        <f aca="true" t="shared" si="71" ref="Q90:Q100">H90/I90*J90</f>
        <v>0</v>
      </c>
      <c r="R90" s="297"/>
      <c r="S90" s="20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</row>
    <row r="91" spans="1:49" ht="15">
      <c r="A91" s="284" t="s">
        <v>183</v>
      </c>
      <c r="B91" s="220"/>
      <c r="C91" s="285">
        <f t="shared" si="64"/>
        <v>0</v>
      </c>
      <c r="D91" s="285">
        <f t="shared" si="64"/>
        <v>0</v>
      </c>
      <c r="E91" s="184">
        <f t="shared" si="62"/>
        <v>0</v>
      </c>
      <c r="F91" s="285">
        <f t="shared" si="65"/>
        <v>538.3</v>
      </c>
      <c r="G91" s="184">
        <f t="shared" si="63"/>
        <v>538.3</v>
      </c>
      <c r="H91" s="285">
        <f t="shared" si="66"/>
        <v>0</v>
      </c>
      <c r="I91" s="310">
        <f t="shared" si="67"/>
        <v>18</v>
      </c>
      <c r="J91" s="310">
        <f t="shared" si="68"/>
        <v>18</v>
      </c>
      <c r="K91" s="259"/>
      <c r="L91" s="259"/>
      <c r="M91" s="259"/>
      <c r="N91" s="264"/>
      <c r="O91" s="184">
        <f t="shared" si="69"/>
        <v>538.3</v>
      </c>
      <c r="P91" s="184">
        <f t="shared" si="70"/>
        <v>0</v>
      </c>
      <c r="Q91" s="184">
        <f t="shared" si="71"/>
        <v>0</v>
      </c>
      <c r="R91" s="297"/>
      <c r="S91" s="264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</row>
    <row r="92" spans="1:49" ht="12">
      <c r="A92" s="284" t="s">
        <v>184</v>
      </c>
      <c r="B92" s="220"/>
      <c r="C92" s="285">
        <f t="shared" si="64"/>
        <v>0</v>
      </c>
      <c r="D92" s="285">
        <f t="shared" si="64"/>
        <v>0</v>
      </c>
      <c r="E92" s="184">
        <f t="shared" si="62"/>
        <v>0</v>
      </c>
      <c r="F92" s="285">
        <f t="shared" si="65"/>
        <v>538.3</v>
      </c>
      <c r="G92" s="184">
        <f t="shared" si="63"/>
        <v>538.3</v>
      </c>
      <c r="H92" s="285">
        <f t="shared" si="66"/>
        <v>0</v>
      </c>
      <c r="I92" s="310">
        <f t="shared" si="67"/>
        <v>18</v>
      </c>
      <c r="J92" s="310">
        <f t="shared" si="68"/>
        <v>18</v>
      </c>
      <c r="K92" s="259"/>
      <c r="L92" s="259"/>
      <c r="M92" s="259"/>
      <c r="N92" s="20"/>
      <c r="O92" s="184">
        <f t="shared" si="69"/>
        <v>538.3</v>
      </c>
      <c r="P92" s="184">
        <f t="shared" si="70"/>
        <v>0</v>
      </c>
      <c r="Q92" s="184">
        <f t="shared" si="71"/>
        <v>0</v>
      </c>
      <c r="R92" s="297"/>
      <c r="S92" s="20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</row>
    <row r="93" spans="1:49" ht="15">
      <c r="A93" s="284" t="s">
        <v>185</v>
      </c>
      <c r="B93" s="220"/>
      <c r="C93" s="285">
        <f t="shared" si="64"/>
        <v>0</v>
      </c>
      <c r="D93" s="285">
        <f t="shared" si="64"/>
        <v>0</v>
      </c>
      <c r="E93" s="184">
        <f t="shared" si="62"/>
        <v>0</v>
      </c>
      <c r="F93" s="285">
        <f t="shared" si="65"/>
        <v>538.3</v>
      </c>
      <c r="G93" s="184">
        <f t="shared" si="63"/>
        <v>538.3</v>
      </c>
      <c r="H93" s="285">
        <f t="shared" si="66"/>
        <v>0</v>
      </c>
      <c r="I93" s="310">
        <f t="shared" si="67"/>
        <v>18</v>
      </c>
      <c r="J93" s="310">
        <f t="shared" si="68"/>
        <v>18</v>
      </c>
      <c r="K93" s="259"/>
      <c r="L93" s="259"/>
      <c r="M93" s="259"/>
      <c r="N93" s="264"/>
      <c r="O93" s="184">
        <f t="shared" si="69"/>
        <v>538.3</v>
      </c>
      <c r="P93" s="184">
        <f t="shared" si="70"/>
        <v>0</v>
      </c>
      <c r="Q93" s="184">
        <f t="shared" si="71"/>
        <v>0</v>
      </c>
      <c r="R93" s="297"/>
      <c r="S93" s="264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</row>
    <row r="94" spans="1:49" ht="12">
      <c r="A94" s="284" t="s">
        <v>186</v>
      </c>
      <c r="B94" s="220"/>
      <c r="C94" s="285">
        <f t="shared" si="64"/>
        <v>0</v>
      </c>
      <c r="D94" s="285">
        <f t="shared" si="64"/>
        <v>0</v>
      </c>
      <c r="E94" s="184">
        <f t="shared" si="62"/>
        <v>0</v>
      </c>
      <c r="F94" s="285">
        <f t="shared" si="65"/>
        <v>538.3</v>
      </c>
      <c r="G94" s="184">
        <f t="shared" si="63"/>
        <v>538.3</v>
      </c>
      <c r="H94" s="285">
        <f t="shared" si="66"/>
        <v>0</v>
      </c>
      <c r="I94" s="310">
        <f t="shared" si="67"/>
        <v>18</v>
      </c>
      <c r="J94" s="310">
        <f t="shared" si="68"/>
        <v>18</v>
      </c>
      <c r="K94" s="259"/>
      <c r="L94" s="259"/>
      <c r="M94" s="259"/>
      <c r="N94" s="20"/>
      <c r="O94" s="184">
        <f t="shared" si="69"/>
        <v>538.3</v>
      </c>
      <c r="P94" s="184">
        <f t="shared" si="70"/>
        <v>0</v>
      </c>
      <c r="Q94" s="184">
        <f t="shared" si="71"/>
        <v>0</v>
      </c>
      <c r="R94" s="297"/>
      <c r="S94" s="20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</row>
    <row r="95" spans="1:49" ht="15">
      <c r="A95" s="284" t="s">
        <v>187</v>
      </c>
      <c r="B95" s="220"/>
      <c r="C95" s="285">
        <f t="shared" si="64"/>
        <v>0</v>
      </c>
      <c r="D95" s="285">
        <f t="shared" si="64"/>
        <v>0</v>
      </c>
      <c r="E95" s="184">
        <f t="shared" si="62"/>
        <v>0</v>
      </c>
      <c r="F95" s="285">
        <f t="shared" si="65"/>
        <v>538.3</v>
      </c>
      <c r="G95" s="184">
        <f t="shared" si="63"/>
        <v>538.3</v>
      </c>
      <c r="H95" s="285">
        <f t="shared" si="66"/>
        <v>0</v>
      </c>
      <c r="I95" s="310">
        <f t="shared" si="67"/>
        <v>18</v>
      </c>
      <c r="J95" s="310">
        <f t="shared" si="68"/>
        <v>18</v>
      </c>
      <c r="K95" s="259"/>
      <c r="L95" s="259"/>
      <c r="M95" s="259"/>
      <c r="N95" s="264"/>
      <c r="O95" s="184">
        <f t="shared" si="69"/>
        <v>538.3</v>
      </c>
      <c r="P95" s="184">
        <f t="shared" si="70"/>
        <v>0</v>
      </c>
      <c r="Q95" s="184">
        <f t="shared" si="71"/>
        <v>0</v>
      </c>
      <c r="R95" s="297"/>
      <c r="S95" s="264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</row>
    <row r="96" spans="1:49" ht="12">
      <c r="A96" s="284" t="s">
        <v>188</v>
      </c>
      <c r="B96" s="220"/>
      <c r="C96" s="285">
        <f t="shared" si="64"/>
        <v>0</v>
      </c>
      <c r="D96" s="285">
        <f t="shared" si="64"/>
        <v>0</v>
      </c>
      <c r="E96" s="184">
        <f t="shared" si="62"/>
        <v>0</v>
      </c>
      <c r="F96" s="285">
        <f t="shared" si="65"/>
        <v>538.3</v>
      </c>
      <c r="G96" s="184">
        <f t="shared" si="63"/>
        <v>538.3</v>
      </c>
      <c r="H96" s="285">
        <f t="shared" si="66"/>
        <v>0</v>
      </c>
      <c r="I96" s="310">
        <f t="shared" si="67"/>
        <v>18</v>
      </c>
      <c r="J96" s="310">
        <f t="shared" si="68"/>
        <v>18</v>
      </c>
      <c r="K96" s="259"/>
      <c r="L96" s="259"/>
      <c r="M96" s="259"/>
      <c r="N96" s="20"/>
      <c r="O96" s="184">
        <f t="shared" si="69"/>
        <v>538.3</v>
      </c>
      <c r="P96" s="184">
        <f t="shared" si="70"/>
        <v>0</v>
      </c>
      <c r="Q96" s="184">
        <f t="shared" si="71"/>
        <v>0</v>
      </c>
      <c r="R96" s="297"/>
      <c r="S96" s="20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</row>
    <row r="97" spans="1:49" ht="15">
      <c r="A97" s="284" t="s">
        <v>189</v>
      </c>
      <c r="B97" s="220"/>
      <c r="C97" s="285">
        <f t="shared" si="64"/>
        <v>0</v>
      </c>
      <c r="D97" s="285">
        <f t="shared" si="64"/>
        <v>0</v>
      </c>
      <c r="E97" s="184">
        <f t="shared" si="62"/>
        <v>0</v>
      </c>
      <c r="F97" s="285">
        <f t="shared" si="65"/>
        <v>538.3</v>
      </c>
      <c r="G97" s="184">
        <f t="shared" si="63"/>
        <v>538.3</v>
      </c>
      <c r="H97" s="285">
        <f t="shared" si="66"/>
        <v>0</v>
      </c>
      <c r="I97" s="310">
        <f t="shared" si="67"/>
        <v>18</v>
      </c>
      <c r="J97" s="310">
        <f t="shared" si="68"/>
        <v>18</v>
      </c>
      <c r="K97" s="259"/>
      <c r="L97" s="259"/>
      <c r="M97" s="259"/>
      <c r="N97" s="264"/>
      <c r="O97" s="184">
        <f t="shared" si="69"/>
        <v>538.3</v>
      </c>
      <c r="P97" s="184">
        <f t="shared" si="70"/>
        <v>0</v>
      </c>
      <c r="Q97" s="184">
        <f t="shared" si="71"/>
        <v>0</v>
      </c>
      <c r="R97" s="297"/>
      <c r="S97" s="264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</row>
    <row r="98" spans="1:49" ht="12">
      <c r="A98" s="284" t="s">
        <v>190</v>
      </c>
      <c r="B98" s="220"/>
      <c r="C98" s="285">
        <f t="shared" si="64"/>
        <v>0</v>
      </c>
      <c r="D98" s="285">
        <f t="shared" si="64"/>
        <v>0</v>
      </c>
      <c r="E98" s="184">
        <f t="shared" si="62"/>
        <v>0</v>
      </c>
      <c r="F98" s="285">
        <f t="shared" si="65"/>
        <v>538.3</v>
      </c>
      <c r="G98" s="184">
        <f t="shared" si="63"/>
        <v>538.3</v>
      </c>
      <c r="H98" s="285">
        <f t="shared" si="66"/>
        <v>0</v>
      </c>
      <c r="I98" s="310">
        <f t="shared" si="67"/>
        <v>18</v>
      </c>
      <c r="J98" s="310">
        <f t="shared" si="68"/>
        <v>18</v>
      </c>
      <c r="K98" s="259"/>
      <c r="L98" s="259"/>
      <c r="M98" s="259"/>
      <c r="N98" s="20"/>
      <c r="O98" s="184">
        <f t="shared" si="69"/>
        <v>538.3</v>
      </c>
      <c r="P98" s="184">
        <f t="shared" si="70"/>
        <v>0</v>
      </c>
      <c r="Q98" s="184">
        <f t="shared" si="71"/>
        <v>0</v>
      </c>
      <c r="R98" s="297"/>
      <c r="S98" s="20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</row>
    <row r="99" spans="1:49" ht="15">
      <c r="A99" s="284" t="s">
        <v>191</v>
      </c>
      <c r="B99" s="220"/>
      <c r="C99" s="285">
        <f t="shared" si="64"/>
        <v>0</v>
      </c>
      <c r="D99" s="285">
        <f t="shared" si="64"/>
        <v>0</v>
      </c>
      <c r="E99" s="184">
        <f t="shared" si="62"/>
        <v>0</v>
      </c>
      <c r="F99" s="285">
        <f t="shared" si="65"/>
        <v>538.3</v>
      </c>
      <c r="G99" s="184">
        <f t="shared" si="63"/>
        <v>538.3</v>
      </c>
      <c r="H99" s="285">
        <f t="shared" si="66"/>
        <v>0</v>
      </c>
      <c r="I99" s="310">
        <f t="shared" si="67"/>
        <v>18</v>
      </c>
      <c r="J99" s="310">
        <f t="shared" si="68"/>
        <v>18</v>
      </c>
      <c r="K99" s="259"/>
      <c r="L99" s="259"/>
      <c r="M99" s="259"/>
      <c r="N99" s="264"/>
      <c r="O99" s="184">
        <f t="shared" si="69"/>
        <v>538.3</v>
      </c>
      <c r="P99" s="184">
        <f t="shared" si="70"/>
        <v>0</v>
      </c>
      <c r="Q99" s="184">
        <f t="shared" si="71"/>
        <v>0</v>
      </c>
      <c r="R99" s="297"/>
      <c r="S99" s="264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</row>
    <row r="100" spans="1:49" ht="12">
      <c r="A100" s="284" t="s">
        <v>192</v>
      </c>
      <c r="B100" s="220"/>
      <c r="C100" s="285">
        <f t="shared" si="64"/>
        <v>0</v>
      </c>
      <c r="D100" s="285">
        <f t="shared" si="64"/>
        <v>0</v>
      </c>
      <c r="E100" s="184">
        <f t="shared" si="62"/>
        <v>0</v>
      </c>
      <c r="F100" s="285">
        <f t="shared" si="65"/>
        <v>538.3</v>
      </c>
      <c r="G100" s="184">
        <f t="shared" si="63"/>
        <v>538.3</v>
      </c>
      <c r="H100" s="285">
        <f t="shared" si="66"/>
        <v>0</v>
      </c>
      <c r="I100" s="310">
        <f t="shared" si="67"/>
        <v>18</v>
      </c>
      <c r="J100" s="310">
        <f t="shared" si="68"/>
        <v>18</v>
      </c>
      <c r="K100" s="259"/>
      <c r="L100" s="259"/>
      <c r="M100" s="259"/>
      <c r="N100" s="20"/>
      <c r="O100" s="184">
        <f t="shared" si="69"/>
        <v>538.3</v>
      </c>
      <c r="P100" s="184">
        <f t="shared" si="70"/>
        <v>0</v>
      </c>
      <c r="Q100" s="184">
        <f t="shared" si="71"/>
        <v>0</v>
      </c>
      <c r="R100" s="297"/>
      <c r="S100" s="20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</row>
    <row r="101" spans="1:49" ht="15">
      <c r="A101" s="282">
        <f>A88+1</f>
        <v>2000</v>
      </c>
      <c r="B101" s="28"/>
      <c r="C101" s="28"/>
      <c r="D101" s="28"/>
      <c r="E101" s="306">
        <f>SUM(E102:E113)</f>
        <v>0</v>
      </c>
      <c r="F101" s="287"/>
      <c r="G101" s="283">
        <f>SUM(G102:G113)</f>
        <v>6459.600000000001</v>
      </c>
      <c r="H101" s="309">
        <f>SUM(H102:H113)</f>
        <v>0</v>
      </c>
      <c r="I101" s="311">
        <f>SUM(I102:I113)</f>
        <v>216</v>
      </c>
      <c r="J101" s="311">
        <f>SUM(J102:J113)</f>
        <v>216</v>
      </c>
      <c r="K101" s="259"/>
      <c r="L101" s="259"/>
      <c r="M101" s="259"/>
      <c r="N101" s="264"/>
      <c r="O101" s="136">
        <f>SUM(O102:O113)</f>
        <v>6459.600000000001</v>
      </c>
      <c r="P101" s="136">
        <f>SUM(P102:P113)</f>
        <v>0</v>
      </c>
      <c r="Q101" s="136">
        <f>SUM(Q102:Q113)</f>
        <v>0</v>
      </c>
      <c r="R101" s="136">
        <f>J101/I101</f>
        <v>1</v>
      </c>
      <c r="S101" s="264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</row>
    <row r="102" spans="1:49" ht="12">
      <c r="A102" s="284" t="s">
        <v>181</v>
      </c>
      <c r="B102" s="220"/>
      <c r="C102" s="285">
        <f>C100</f>
        <v>0</v>
      </c>
      <c r="D102" s="285">
        <f>D100</f>
        <v>0</v>
      </c>
      <c r="E102" s="184">
        <f aca="true" t="shared" si="72" ref="E102:E113">C102+D102</f>
        <v>0</v>
      </c>
      <c r="F102" s="285">
        <f>F100</f>
        <v>538.3</v>
      </c>
      <c r="G102" s="184">
        <f aca="true" t="shared" si="73" ref="G102:G113">SUM(E102:F102)</f>
        <v>538.3</v>
      </c>
      <c r="H102" s="285">
        <f>H100</f>
        <v>0</v>
      </c>
      <c r="I102" s="310">
        <f>I100</f>
        <v>18</v>
      </c>
      <c r="J102" s="310">
        <f>J100</f>
        <v>18</v>
      </c>
      <c r="K102" s="259"/>
      <c r="L102" s="259"/>
      <c r="M102" s="259"/>
      <c r="N102" s="20"/>
      <c r="O102" s="184">
        <f>G102/I102*J102</f>
        <v>538.3</v>
      </c>
      <c r="P102" s="184">
        <f>E102*0.18/I102*J102</f>
        <v>0</v>
      </c>
      <c r="Q102" s="184">
        <f>H102/I102*J102</f>
        <v>0</v>
      </c>
      <c r="R102" s="297"/>
      <c r="S102" s="20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</row>
    <row r="103" spans="1:49" ht="15">
      <c r="A103" s="284" t="s">
        <v>182</v>
      </c>
      <c r="B103" s="220"/>
      <c r="C103" s="285">
        <f aca="true" t="shared" si="74" ref="C103:D113">C102</f>
        <v>0</v>
      </c>
      <c r="D103" s="285">
        <f t="shared" si="74"/>
        <v>0</v>
      </c>
      <c r="E103" s="184">
        <f t="shared" si="72"/>
        <v>0</v>
      </c>
      <c r="F103" s="285">
        <f aca="true" t="shared" si="75" ref="F103:F113">F102</f>
        <v>538.3</v>
      </c>
      <c r="G103" s="184">
        <f t="shared" si="73"/>
        <v>538.3</v>
      </c>
      <c r="H103" s="285">
        <f aca="true" t="shared" si="76" ref="H103:H113">H102</f>
        <v>0</v>
      </c>
      <c r="I103" s="310">
        <f aca="true" t="shared" si="77" ref="I103:I113">I102</f>
        <v>18</v>
      </c>
      <c r="J103" s="310">
        <f aca="true" t="shared" si="78" ref="J103:J113">J102</f>
        <v>18</v>
      </c>
      <c r="K103" s="259"/>
      <c r="L103" s="259"/>
      <c r="M103" s="259"/>
      <c r="N103" s="264"/>
      <c r="O103" s="184">
        <f aca="true" t="shared" si="79" ref="O103:O113">G103/I103*J103</f>
        <v>538.3</v>
      </c>
      <c r="P103" s="184">
        <f aca="true" t="shared" si="80" ref="P103:P113">E103*0.18/I103*J103</f>
        <v>0</v>
      </c>
      <c r="Q103" s="184">
        <f aca="true" t="shared" si="81" ref="Q103:Q113">H103/I103*J103</f>
        <v>0</v>
      </c>
      <c r="R103" s="297"/>
      <c r="S103" s="264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</row>
    <row r="104" spans="1:49" ht="12">
      <c r="A104" s="284" t="s">
        <v>183</v>
      </c>
      <c r="B104" s="220"/>
      <c r="C104" s="285">
        <f t="shared" si="74"/>
        <v>0</v>
      </c>
      <c r="D104" s="285">
        <f t="shared" si="74"/>
        <v>0</v>
      </c>
      <c r="E104" s="184">
        <f t="shared" si="72"/>
        <v>0</v>
      </c>
      <c r="F104" s="285">
        <f t="shared" si="75"/>
        <v>538.3</v>
      </c>
      <c r="G104" s="184">
        <f t="shared" si="73"/>
        <v>538.3</v>
      </c>
      <c r="H104" s="285">
        <f t="shared" si="76"/>
        <v>0</v>
      </c>
      <c r="I104" s="310">
        <f t="shared" si="77"/>
        <v>18</v>
      </c>
      <c r="J104" s="310">
        <f t="shared" si="78"/>
        <v>18</v>
      </c>
      <c r="K104" s="259"/>
      <c r="L104" s="259"/>
      <c r="M104" s="259"/>
      <c r="N104" s="20"/>
      <c r="O104" s="184">
        <f t="shared" si="79"/>
        <v>538.3</v>
      </c>
      <c r="P104" s="184">
        <f t="shared" si="80"/>
        <v>0</v>
      </c>
      <c r="Q104" s="184">
        <f t="shared" si="81"/>
        <v>0</v>
      </c>
      <c r="R104" s="297"/>
      <c r="S104" s="20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</row>
    <row r="105" spans="1:49" ht="15">
      <c r="A105" s="284" t="s">
        <v>184</v>
      </c>
      <c r="B105" s="220"/>
      <c r="C105" s="285">
        <f t="shared" si="74"/>
        <v>0</v>
      </c>
      <c r="D105" s="285">
        <f t="shared" si="74"/>
        <v>0</v>
      </c>
      <c r="E105" s="184">
        <f t="shared" si="72"/>
        <v>0</v>
      </c>
      <c r="F105" s="285">
        <f t="shared" si="75"/>
        <v>538.3</v>
      </c>
      <c r="G105" s="184">
        <f t="shared" si="73"/>
        <v>538.3</v>
      </c>
      <c r="H105" s="285">
        <f t="shared" si="76"/>
        <v>0</v>
      </c>
      <c r="I105" s="310">
        <f t="shared" si="77"/>
        <v>18</v>
      </c>
      <c r="J105" s="310">
        <f t="shared" si="78"/>
        <v>18</v>
      </c>
      <c r="K105" s="259"/>
      <c r="L105" s="259"/>
      <c r="M105" s="259"/>
      <c r="N105" s="264"/>
      <c r="O105" s="184">
        <f t="shared" si="79"/>
        <v>538.3</v>
      </c>
      <c r="P105" s="184">
        <f t="shared" si="80"/>
        <v>0</v>
      </c>
      <c r="Q105" s="184">
        <f t="shared" si="81"/>
        <v>0</v>
      </c>
      <c r="R105" s="297"/>
      <c r="S105" s="264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</row>
    <row r="106" spans="1:49" ht="12">
      <c r="A106" s="284" t="s">
        <v>185</v>
      </c>
      <c r="B106" s="220"/>
      <c r="C106" s="285">
        <f t="shared" si="74"/>
        <v>0</v>
      </c>
      <c r="D106" s="285">
        <f t="shared" si="74"/>
        <v>0</v>
      </c>
      <c r="E106" s="184">
        <f t="shared" si="72"/>
        <v>0</v>
      </c>
      <c r="F106" s="285">
        <f t="shared" si="75"/>
        <v>538.3</v>
      </c>
      <c r="G106" s="184">
        <f t="shared" si="73"/>
        <v>538.3</v>
      </c>
      <c r="H106" s="285">
        <f t="shared" si="76"/>
        <v>0</v>
      </c>
      <c r="I106" s="310">
        <f t="shared" si="77"/>
        <v>18</v>
      </c>
      <c r="J106" s="310">
        <f t="shared" si="78"/>
        <v>18</v>
      </c>
      <c r="K106" s="259"/>
      <c r="L106" s="259"/>
      <c r="M106" s="259"/>
      <c r="N106" s="20"/>
      <c r="O106" s="184">
        <f t="shared" si="79"/>
        <v>538.3</v>
      </c>
      <c r="P106" s="184">
        <f t="shared" si="80"/>
        <v>0</v>
      </c>
      <c r="Q106" s="184">
        <f t="shared" si="81"/>
        <v>0</v>
      </c>
      <c r="R106" s="297"/>
      <c r="S106" s="20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</row>
    <row r="107" spans="1:49" ht="15">
      <c r="A107" s="284" t="s">
        <v>186</v>
      </c>
      <c r="B107" s="220"/>
      <c r="C107" s="285">
        <f t="shared" si="74"/>
        <v>0</v>
      </c>
      <c r="D107" s="285">
        <f t="shared" si="74"/>
        <v>0</v>
      </c>
      <c r="E107" s="184">
        <f t="shared" si="72"/>
        <v>0</v>
      </c>
      <c r="F107" s="285">
        <f t="shared" si="75"/>
        <v>538.3</v>
      </c>
      <c r="G107" s="184">
        <f t="shared" si="73"/>
        <v>538.3</v>
      </c>
      <c r="H107" s="285">
        <f t="shared" si="76"/>
        <v>0</v>
      </c>
      <c r="I107" s="310">
        <f t="shared" si="77"/>
        <v>18</v>
      </c>
      <c r="J107" s="310">
        <f t="shared" si="78"/>
        <v>18</v>
      </c>
      <c r="K107" s="259"/>
      <c r="L107" s="259"/>
      <c r="M107" s="259"/>
      <c r="N107" s="264"/>
      <c r="O107" s="184">
        <f t="shared" si="79"/>
        <v>538.3</v>
      </c>
      <c r="P107" s="184">
        <f t="shared" si="80"/>
        <v>0</v>
      </c>
      <c r="Q107" s="184">
        <f t="shared" si="81"/>
        <v>0</v>
      </c>
      <c r="R107" s="297"/>
      <c r="S107" s="264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</row>
    <row r="108" spans="1:49" ht="12">
      <c r="A108" s="284" t="s">
        <v>187</v>
      </c>
      <c r="B108" s="220"/>
      <c r="C108" s="285">
        <f t="shared" si="74"/>
        <v>0</v>
      </c>
      <c r="D108" s="285">
        <f t="shared" si="74"/>
        <v>0</v>
      </c>
      <c r="E108" s="184">
        <f t="shared" si="72"/>
        <v>0</v>
      </c>
      <c r="F108" s="285">
        <f t="shared" si="75"/>
        <v>538.3</v>
      </c>
      <c r="G108" s="184">
        <f t="shared" si="73"/>
        <v>538.3</v>
      </c>
      <c r="H108" s="285">
        <f t="shared" si="76"/>
        <v>0</v>
      </c>
      <c r="I108" s="310">
        <f t="shared" si="77"/>
        <v>18</v>
      </c>
      <c r="J108" s="310">
        <f t="shared" si="78"/>
        <v>18</v>
      </c>
      <c r="K108" s="259"/>
      <c r="L108" s="259"/>
      <c r="M108" s="259"/>
      <c r="N108" s="20"/>
      <c r="O108" s="184">
        <f t="shared" si="79"/>
        <v>538.3</v>
      </c>
      <c r="P108" s="184">
        <f t="shared" si="80"/>
        <v>0</v>
      </c>
      <c r="Q108" s="184">
        <f t="shared" si="81"/>
        <v>0</v>
      </c>
      <c r="R108" s="297"/>
      <c r="S108" s="20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</row>
    <row r="109" spans="1:49" ht="15">
      <c r="A109" s="284" t="s">
        <v>188</v>
      </c>
      <c r="B109" s="220"/>
      <c r="C109" s="285">
        <f t="shared" si="74"/>
        <v>0</v>
      </c>
      <c r="D109" s="285">
        <f t="shared" si="74"/>
        <v>0</v>
      </c>
      <c r="E109" s="184">
        <f t="shared" si="72"/>
        <v>0</v>
      </c>
      <c r="F109" s="285">
        <f t="shared" si="75"/>
        <v>538.3</v>
      </c>
      <c r="G109" s="184">
        <f t="shared" si="73"/>
        <v>538.3</v>
      </c>
      <c r="H109" s="285">
        <f t="shared" si="76"/>
        <v>0</v>
      </c>
      <c r="I109" s="310">
        <f t="shared" si="77"/>
        <v>18</v>
      </c>
      <c r="J109" s="310">
        <f t="shared" si="78"/>
        <v>18</v>
      </c>
      <c r="K109" s="259"/>
      <c r="L109" s="259"/>
      <c r="M109" s="259"/>
      <c r="N109" s="264"/>
      <c r="O109" s="184">
        <f t="shared" si="79"/>
        <v>538.3</v>
      </c>
      <c r="P109" s="184">
        <f t="shared" si="80"/>
        <v>0</v>
      </c>
      <c r="Q109" s="184">
        <f t="shared" si="81"/>
        <v>0</v>
      </c>
      <c r="R109" s="297"/>
      <c r="S109" s="264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</row>
    <row r="110" spans="1:49" ht="12">
      <c r="A110" s="284" t="s">
        <v>189</v>
      </c>
      <c r="B110" s="220"/>
      <c r="C110" s="285">
        <f t="shared" si="74"/>
        <v>0</v>
      </c>
      <c r="D110" s="285">
        <f t="shared" si="74"/>
        <v>0</v>
      </c>
      <c r="E110" s="184">
        <f t="shared" si="72"/>
        <v>0</v>
      </c>
      <c r="F110" s="285">
        <f t="shared" si="75"/>
        <v>538.3</v>
      </c>
      <c r="G110" s="184">
        <f t="shared" si="73"/>
        <v>538.3</v>
      </c>
      <c r="H110" s="285">
        <f t="shared" si="76"/>
        <v>0</v>
      </c>
      <c r="I110" s="310">
        <f t="shared" si="77"/>
        <v>18</v>
      </c>
      <c r="J110" s="310">
        <f t="shared" si="78"/>
        <v>18</v>
      </c>
      <c r="K110" s="259"/>
      <c r="L110" s="259"/>
      <c r="M110" s="259"/>
      <c r="N110" s="20"/>
      <c r="O110" s="184">
        <f t="shared" si="79"/>
        <v>538.3</v>
      </c>
      <c r="P110" s="184">
        <f t="shared" si="80"/>
        <v>0</v>
      </c>
      <c r="Q110" s="184">
        <f t="shared" si="81"/>
        <v>0</v>
      </c>
      <c r="R110" s="297"/>
      <c r="S110" s="20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</row>
    <row r="111" spans="1:49" ht="15">
      <c r="A111" s="284" t="s">
        <v>190</v>
      </c>
      <c r="B111" s="220"/>
      <c r="C111" s="285">
        <f t="shared" si="74"/>
        <v>0</v>
      </c>
      <c r="D111" s="285">
        <f t="shared" si="74"/>
        <v>0</v>
      </c>
      <c r="E111" s="184">
        <f t="shared" si="72"/>
        <v>0</v>
      </c>
      <c r="F111" s="285">
        <f t="shared" si="75"/>
        <v>538.3</v>
      </c>
      <c r="G111" s="184">
        <f t="shared" si="73"/>
        <v>538.3</v>
      </c>
      <c r="H111" s="285">
        <f t="shared" si="76"/>
        <v>0</v>
      </c>
      <c r="I111" s="310">
        <f t="shared" si="77"/>
        <v>18</v>
      </c>
      <c r="J111" s="310">
        <f t="shared" si="78"/>
        <v>18</v>
      </c>
      <c r="K111" s="259"/>
      <c r="L111" s="259"/>
      <c r="M111" s="259"/>
      <c r="N111" s="264"/>
      <c r="O111" s="184">
        <f t="shared" si="79"/>
        <v>538.3</v>
      </c>
      <c r="P111" s="184">
        <f t="shared" si="80"/>
        <v>0</v>
      </c>
      <c r="Q111" s="184">
        <f t="shared" si="81"/>
        <v>0</v>
      </c>
      <c r="R111" s="297"/>
      <c r="S111" s="264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</row>
    <row r="112" spans="1:49" ht="12">
      <c r="A112" s="284" t="s">
        <v>191</v>
      </c>
      <c r="B112" s="220"/>
      <c r="C112" s="285">
        <f t="shared" si="74"/>
        <v>0</v>
      </c>
      <c r="D112" s="285">
        <f t="shared" si="74"/>
        <v>0</v>
      </c>
      <c r="E112" s="184">
        <f t="shared" si="72"/>
        <v>0</v>
      </c>
      <c r="F112" s="285">
        <f t="shared" si="75"/>
        <v>538.3</v>
      </c>
      <c r="G112" s="184">
        <f t="shared" si="73"/>
        <v>538.3</v>
      </c>
      <c r="H112" s="285">
        <f t="shared" si="76"/>
        <v>0</v>
      </c>
      <c r="I112" s="310">
        <f t="shared" si="77"/>
        <v>18</v>
      </c>
      <c r="J112" s="310">
        <f t="shared" si="78"/>
        <v>18</v>
      </c>
      <c r="K112" s="259"/>
      <c r="L112" s="259"/>
      <c r="M112" s="259"/>
      <c r="N112" s="20"/>
      <c r="O112" s="184">
        <f t="shared" si="79"/>
        <v>538.3</v>
      </c>
      <c r="P112" s="184">
        <f t="shared" si="80"/>
        <v>0</v>
      </c>
      <c r="Q112" s="184">
        <f t="shared" si="81"/>
        <v>0</v>
      </c>
      <c r="R112" s="297"/>
      <c r="S112" s="20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59"/>
      <c r="AU112" s="259"/>
      <c r="AV112" s="259"/>
      <c r="AW112" s="259"/>
    </row>
    <row r="113" spans="1:49" ht="15">
      <c r="A113" s="284" t="s">
        <v>192</v>
      </c>
      <c r="B113" s="220"/>
      <c r="C113" s="285">
        <f t="shared" si="74"/>
        <v>0</v>
      </c>
      <c r="D113" s="285">
        <f t="shared" si="74"/>
        <v>0</v>
      </c>
      <c r="E113" s="184">
        <f t="shared" si="72"/>
        <v>0</v>
      </c>
      <c r="F113" s="285">
        <f t="shared" si="75"/>
        <v>538.3</v>
      </c>
      <c r="G113" s="184">
        <f t="shared" si="73"/>
        <v>538.3</v>
      </c>
      <c r="H113" s="285">
        <f t="shared" si="76"/>
        <v>0</v>
      </c>
      <c r="I113" s="310">
        <f t="shared" si="77"/>
        <v>18</v>
      </c>
      <c r="J113" s="310">
        <f t="shared" si="78"/>
        <v>18</v>
      </c>
      <c r="K113" s="259"/>
      <c r="L113" s="259"/>
      <c r="M113" s="259"/>
      <c r="N113" s="264"/>
      <c r="O113" s="184">
        <f t="shared" si="79"/>
        <v>538.3</v>
      </c>
      <c r="P113" s="184">
        <f t="shared" si="80"/>
        <v>0</v>
      </c>
      <c r="Q113" s="184">
        <f t="shared" si="81"/>
        <v>0</v>
      </c>
      <c r="R113" s="297"/>
      <c r="S113" s="264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</row>
    <row r="114" spans="1:49" ht="12.75">
      <c r="A114" s="282">
        <f>A101+1</f>
        <v>2001</v>
      </c>
      <c r="B114" s="28"/>
      <c r="C114" s="28"/>
      <c r="D114" s="28"/>
      <c r="E114" s="306">
        <f>SUM(E115:E126)</f>
        <v>0</v>
      </c>
      <c r="F114" s="287"/>
      <c r="G114" s="283">
        <f>SUM(G115:G126)</f>
        <v>6459.600000000001</v>
      </c>
      <c r="H114" s="309">
        <f>SUM(H115:H126)</f>
        <v>0</v>
      </c>
      <c r="I114" s="311">
        <f>SUM(I115:I126)</f>
        <v>216</v>
      </c>
      <c r="J114" s="311">
        <f>SUM(J115:J126)</f>
        <v>216</v>
      </c>
      <c r="K114" s="259"/>
      <c r="L114" s="259"/>
      <c r="M114" s="259"/>
      <c r="N114" s="20"/>
      <c r="O114" s="136">
        <f>SUM(O115:O126)</f>
        <v>6459.600000000001</v>
      </c>
      <c r="P114" s="136">
        <f>SUM(P115:P126)</f>
        <v>0</v>
      </c>
      <c r="Q114" s="136">
        <f>SUM(Q115:Q126)</f>
        <v>0</v>
      </c>
      <c r="R114" s="136">
        <f>J114/I114</f>
        <v>1</v>
      </c>
      <c r="S114" s="20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</row>
    <row r="115" spans="1:49" ht="15">
      <c r="A115" s="284" t="s">
        <v>181</v>
      </c>
      <c r="B115" s="220"/>
      <c r="C115" s="285">
        <f>C113</f>
        <v>0</v>
      </c>
      <c r="D115" s="285">
        <f>D113</f>
        <v>0</v>
      </c>
      <c r="E115" s="184">
        <f aca="true" t="shared" si="82" ref="E115:E126">C115+D115</f>
        <v>0</v>
      </c>
      <c r="F115" s="285">
        <f>F113</f>
        <v>538.3</v>
      </c>
      <c r="G115" s="184">
        <f aca="true" t="shared" si="83" ref="G115:G126">SUM(E115:F115)</f>
        <v>538.3</v>
      </c>
      <c r="H115" s="285">
        <f>H113</f>
        <v>0</v>
      </c>
      <c r="I115" s="310">
        <f>I113</f>
        <v>18</v>
      </c>
      <c r="J115" s="310">
        <f>J113</f>
        <v>18</v>
      </c>
      <c r="K115" s="259"/>
      <c r="L115" s="259"/>
      <c r="M115" s="259"/>
      <c r="N115" s="264"/>
      <c r="O115" s="184">
        <f>G115/I115*J115</f>
        <v>538.3</v>
      </c>
      <c r="P115" s="184">
        <f>E115*0.18/I115*J115</f>
        <v>0</v>
      </c>
      <c r="Q115" s="184">
        <f>H115/I115*J115</f>
        <v>0</v>
      </c>
      <c r="R115" s="297"/>
      <c r="S115" s="264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</row>
    <row r="116" spans="1:49" ht="12">
      <c r="A116" s="284" t="s">
        <v>182</v>
      </c>
      <c r="B116" s="220"/>
      <c r="C116" s="285">
        <f aca="true" t="shared" si="84" ref="C116:D126">C115</f>
        <v>0</v>
      </c>
      <c r="D116" s="285">
        <f t="shared" si="84"/>
        <v>0</v>
      </c>
      <c r="E116" s="184">
        <f t="shared" si="82"/>
        <v>0</v>
      </c>
      <c r="F116" s="285">
        <f aca="true" t="shared" si="85" ref="F116:F126">F115</f>
        <v>538.3</v>
      </c>
      <c r="G116" s="184">
        <f t="shared" si="83"/>
        <v>538.3</v>
      </c>
      <c r="H116" s="285">
        <f aca="true" t="shared" si="86" ref="H116:H126">H115</f>
        <v>0</v>
      </c>
      <c r="I116" s="310">
        <f aca="true" t="shared" si="87" ref="I116:I126">I115</f>
        <v>18</v>
      </c>
      <c r="J116" s="310">
        <f aca="true" t="shared" si="88" ref="J116:J126">J115</f>
        <v>18</v>
      </c>
      <c r="K116" s="259"/>
      <c r="L116" s="259"/>
      <c r="M116" s="259"/>
      <c r="N116" s="20"/>
      <c r="O116" s="184">
        <f aca="true" t="shared" si="89" ref="O116:O126">G116/I116*J116</f>
        <v>538.3</v>
      </c>
      <c r="P116" s="184">
        <f aca="true" t="shared" si="90" ref="P116:P126">E116*0.18/I116*J116</f>
        <v>0</v>
      </c>
      <c r="Q116" s="184">
        <f aca="true" t="shared" si="91" ref="Q116:Q126">H116/I116*J116</f>
        <v>0</v>
      </c>
      <c r="R116" s="297"/>
      <c r="S116" s="20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</row>
    <row r="117" spans="1:49" ht="15">
      <c r="A117" s="284" t="s">
        <v>183</v>
      </c>
      <c r="B117" s="220"/>
      <c r="C117" s="285">
        <f t="shared" si="84"/>
        <v>0</v>
      </c>
      <c r="D117" s="285">
        <f t="shared" si="84"/>
        <v>0</v>
      </c>
      <c r="E117" s="184">
        <f t="shared" si="82"/>
        <v>0</v>
      </c>
      <c r="F117" s="285">
        <f t="shared" si="85"/>
        <v>538.3</v>
      </c>
      <c r="G117" s="184">
        <f t="shared" si="83"/>
        <v>538.3</v>
      </c>
      <c r="H117" s="285">
        <f t="shared" si="86"/>
        <v>0</v>
      </c>
      <c r="I117" s="310">
        <f t="shared" si="87"/>
        <v>18</v>
      </c>
      <c r="J117" s="310">
        <f t="shared" si="88"/>
        <v>18</v>
      </c>
      <c r="K117" s="259"/>
      <c r="L117" s="259"/>
      <c r="M117" s="259"/>
      <c r="N117" s="264"/>
      <c r="O117" s="184">
        <f t="shared" si="89"/>
        <v>538.3</v>
      </c>
      <c r="P117" s="184">
        <f t="shared" si="90"/>
        <v>0</v>
      </c>
      <c r="Q117" s="184">
        <f t="shared" si="91"/>
        <v>0</v>
      </c>
      <c r="R117" s="297"/>
      <c r="S117" s="264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</row>
    <row r="118" spans="1:49" ht="12">
      <c r="A118" s="284" t="s">
        <v>184</v>
      </c>
      <c r="B118" s="220"/>
      <c r="C118" s="285">
        <f t="shared" si="84"/>
        <v>0</v>
      </c>
      <c r="D118" s="285">
        <f t="shared" si="84"/>
        <v>0</v>
      </c>
      <c r="E118" s="184">
        <f t="shared" si="82"/>
        <v>0</v>
      </c>
      <c r="F118" s="285">
        <f t="shared" si="85"/>
        <v>538.3</v>
      </c>
      <c r="G118" s="184">
        <f t="shared" si="83"/>
        <v>538.3</v>
      </c>
      <c r="H118" s="285">
        <f t="shared" si="86"/>
        <v>0</v>
      </c>
      <c r="I118" s="310">
        <f t="shared" si="87"/>
        <v>18</v>
      </c>
      <c r="J118" s="310">
        <f t="shared" si="88"/>
        <v>18</v>
      </c>
      <c r="K118" s="259"/>
      <c r="L118" s="259"/>
      <c r="M118" s="259"/>
      <c r="N118" s="20"/>
      <c r="O118" s="184">
        <f t="shared" si="89"/>
        <v>538.3</v>
      </c>
      <c r="P118" s="184">
        <f t="shared" si="90"/>
        <v>0</v>
      </c>
      <c r="Q118" s="184">
        <f t="shared" si="91"/>
        <v>0</v>
      </c>
      <c r="R118" s="297"/>
      <c r="S118" s="20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</row>
    <row r="119" spans="1:49" ht="15">
      <c r="A119" s="284" t="s">
        <v>185</v>
      </c>
      <c r="B119" s="220"/>
      <c r="C119" s="285">
        <f t="shared" si="84"/>
        <v>0</v>
      </c>
      <c r="D119" s="285">
        <f t="shared" si="84"/>
        <v>0</v>
      </c>
      <c r="E119" s="184">
        <f t="shared" si="82"/>
        <v>0</v>
      </c>
      <c r="F119" s="285">
        <f t="shared" si="85"/>
        <v>538.3</v>
      </c>
      <c r="G119" s="184">
        <f t="shared" si="83"/>
        <v>538.3</v>
      </c>
      <c r="H119" s="285">
        <f t="shared" si="86"/>
        <v>0</v>
      </c>
      <c r="I119" s="310">
        <f t="shared" si="87"/>
        <v>18</v>
      </c>
      <c r="J119" s="310">
        <f t="shared" si="88"/>
        <v>18</v>
      </c>
      <c r="K119" s="259"/>
      <c r="L119" s="259"/>
      <c r="M119" s="259"/>
      <c r="N119" s="264"/>
      <c r="O119" s="184">
        <f t="shared" si="89"/>
        <v>538.3</v>
      </c>
      <c r="P119" s="184">
        <f t="shared" si="90"/>
        <v>0</v>
      </c>
      <c r="Q119" s="184">
        <f t="shared" si="91"/>
        <v>0</v>
      </c>
      <c r="R119" s="297"/>
      <c r="S119" s="264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</row>
    <row r="120" spans="1:49" ht="12">
      <c r="A120" s="284" t="s">
        <v>186</v>
      </c>
      <c r="B120" s="220"/>
      <c r="C120" s="285">
        <f t="shared" si="84"/>
        <v>0</v>
      </c>
      <c r="D120" s="285">
        <f t="shared" si="84"/>
        <v>0</v>
      </c>
      <c r="E120" s="184">
        <f t="shared" si="82"/>
        <v>0</v>
      </c>
      <c r="F120" s="285">
        <f t="shared" si="85"/>
        <v>538.3</v>
      </c>
      <c r="G120" s="184">
        <f t="shared" si="83"/>
        <v>538.3</v>
      </c>
      <c r="H120" s="285">
        <f t="shared" si="86"/>
        <v>0</v>
      </c>
      <c r="I120" s="310">
        <f t="shared" si="87"/>
        <v>18</v>
      </c>
      <c r="J120" s="310">
        <f t="shared" si="88"/>
        <v>18</v>
      </c>
      <c r="K120" s="259"/>
      <c r="L120" s="259"/>
      <c r="M120" s="259"/>
      <c r="N120" s="20"/>
      <c r="O120" s="184">
        <f t="shared" si="89"/>
        <v>538.3</v>
      </c>
      <c r="P120" s="184">
        <f t="shared" si="90"/>
        <v>0</v>
      </c>
      <c r="Q120" s="184">
        <f t="shared" si="91"/>
        <v>0</v>
      </c>
      <c r="R120" s="297"/>
      <c r="S120" s="20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</row>
    <row r="121" spans="1:49" ht="15">
      <c r="A121" s="284" t="s">
        <v>187</v>
      </c>
      <c r="B121" s="220"/>
      <c r="C121" s="285">
        <f t="shared" si="84"/>
        <v>0</v>
      </c>
      <c r="D121" s="285">
        <f t="shared" si="84"/>
        <v>0</v>
      </c>
      <c r="E121" s="184">
        <f t="shared" si="82"/>
        <v>0</v>
      </c>
      <c r="F121" s="285">
        <f t="shared" si="85"/>
        <v>538.3</v>
      </c>
      <c r="G121" s="184">
        <f t="shared" si="83"/>
        <v>538.3</v>
      </c>
      <c r="H121" s="285">
        <f t="shared" si="86"/>
        <v>0</v>
      </c>
      <c r="I121" s="310">
        <f t="shared" si="87"/>
        <v>18</v>
      </c>
      <c r="J121" s="310">
        <f t="shared" si="88"/>
        <v>18</v>
      </c>
      <c r="K121" s="259"/>
      <c r="L121" s="259"/>
      <c r="M121" s="259"/>
      <c r="N121" s="264"/>
      <c r="O121" s="184">
        <f t="shared" si="89"/>
        <v>538.3</v>
      </c>
      <c r="P121" s="184">
        <f t="shared" si="90"/>
        <v>0</v>
      </c>
      <c r="Q121" s="184">
        <f t="shared" si="91"/>
        <v>0</v>
      </c>
      <c r="R121" s="297"/>
      <c r="S121" s="264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</row>
    <row r="122" spans="1:49" ht="12">
      <c r="A122" s="284" t="s">
        <v>188</v>
      </c>
      <c r="B122" s="220"/>
      <c r="C122" s="285">
        <f t="shared" si="84"/>
        <v>0</v>
      </c>
      <c r="D122" s="285">
        <f t="shared" si="84"/>
        <v>0</v>
      </c>
      <c r="E122" s="184">
        <f t="shared" si="82"/>
        <v>0</v>
      </c>
      <c r="F122" s="285">
        <f t="shared" si="85"/>
        <v>538.3</v>
      </c>
      <c r="G122" s="184">
        <f t="shared" si="83"/>
        <v>538.3</v>
      </c>
      <c r="H122" s="285">
        <f t="shared" si="86"/>
        <v>0</v>
      </c>
      <c r="I122" s="310">
        <f t="shared" si="87"/>
        <v>18</v>
      </c>
      <c r="J122" s="310">
        <f t="shared" si="88"/>
        <v>18</v>
      </c>
      <c r="K122" s="259"/>
      <c r="L122" s="259"/>
      <c r="M122" s="259"/>
      <c r="N122" s="20"/>
      <c r="O122" s="184">
        <f t="shared" si="89"/>
        <v>538.3</v>
      </c>
      <c r="P122" s="184">
        <f t="shared" si="90"/>
        <v>0</v>
      </c>
      <c r="Q122" s="184">
        <f t="shared" si="91"/>
        <v>0</v>
      </c>
      <c r="R122" s="297"/>
      <c r="S122" s="20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</row>
    <row r="123" spans="1:49" ht="15">
      <c r="A123" s="284" t="s">
        <v>189</v>
      </c>
      <c r="B123" s="220"/>
      <c r="C123" s="285">
        <f t="shared" si="84"/>
        <v>0</v>
      </c>
      <c r="D123" s="285">
        <f t="shared" si="84"/>
        <v>0</v>
      </c>
      <c r="E123" s="184">
        <f t="shared" si="82"/>
        <v>0</v>
      </c>
      <c r="F123" s="285">
        <f t="shared" si="85"/>
        <v>538.3</v>
      </c>
      <c r="G123" s="184">
        <f t="shared" si="83"/>
        <v>538.3</v>
      </c>
      <c r="H123" s="285">
        <f t="shared" si="86"/>
        <v>0</v>
      </c>
      <c r="I123" s="310">
        <f t="shared" si="87"/>
        <v>18</v>
      </c>
      <c r="J123" s="310">
        <f t="shared" si="88"/>
        <v>18</v>
      </c>
      <c r="K123" s="259"/>
      <c r="L123" s="259"/>
      <c r="M123" s="259"/>
      <c r="N123" s="264"/>
      <c r="O123" s="184">
        <f t="shared" si="89"/>
        <v>538.3</v>
      </c>
      <c r="P123" s="184">
        <f t="shared" si="90"/>
        <v>0</v>
      </c>
      <c r="Q123" s="184">
        <f t="shared" si="91"/>
        <v>0</v>
      </c>
      <c r="R123" s="297"/>
      <c r="S123" s="264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</row>
    <row r="124" spans="1:49" ht="12">
      <c r="A124" s="284" t="s">
        <v>190</v>
      </c>
      <c r="B124" s="220"/>
      <c r="C124" s="285">
        <f t="shared" si="84"/>
        <v>0</v>
      </c>
      <c r="D124" s="285">
        <f t="shared" si="84"/>
        <v>0</v>
      </c>
      <c r="E124" s="184">
        <f t="shared" si="82"/>
        <v>0</v>
      </c>
      <c r="F124" s="285">
        <f t="shared" si="85"/>
        <v>538.3</v>
      </c>
      <c r="G124" s="184">
        <f t="shared" si="83"/>
        <v>538.3</v>
      </c>
      <c r="H124" s="285">
        <f t="shared" si="86"/>
        <v>0</v>
      </c>
      <c r="I124" s="310">
        <f t="shared" si="87"/>
        <v>18</v>
      </c>
      <c r="J124" s="310">
        <f t="shared" si="88"/>
        <v>18</v>
      </c>
      <c r="K124" s="259"/>
      <c r="L124" s="259"/>
      <c r="M124" s="259"/>
      <c r="N124" s="20"/>
      <c r="O124" s="184">
        <f t="shared" si="89"/>
        <v>538.3</v>
      </c>
      <c r="P124" s="184">
        <f t="shared" si="90"/>
        <v>0</v>
      </c>
      <c r="Q124" s="184">
        <f t="shared" si="91"/>
        <v>0</v>
      </c>
      <c r="R124" s="297"/>
      <c r="S124" s="20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</row>
    <row r="125" spans="1:49" ht="15">
      <c r="A125" s="284" t="s">
        <v>191</v>
      </c>
      <c r="B125" s="220"/>
      <c r="C125" s="285">
        <f t="shared" si="84"/>
        <v>0</v>
      </c>
      <c r="D125" s="285">
        <f t="shared" si="84"/>
        <v>0</v>
      </c>
      <c r="E125" s="184">
        <f t="shared" si="82"/>
        <v>0</v>
      </c>
      <c r="F125" s="285">
        <f t="shared" si="85"/>
        <v>538.3</v>
      </c>
      <c r="G125" s="184">
        <f t="shared" si="83"/>
        <v>538.3</v>
      </c>
      <c r="H125" s="285">
        <f t="shared" si="86"/>
        <v>0</v>
      </c>
      <c r="I125" s="310">
        <f t="shared" si="87"/>
        <v>18</v>
      </c>
      <c r="J125" s="310">
        <f t="shared" si="88"/>
        <v>18</v>
      </c>
      <c r="K125" s="259"/>
      <c r="L125" s="259"/>
      <c r="M125" s="259"/>
      <c r="N125" s="264"/>
      <c r="O125" s="184">
        <f t="shared" si="89"/>
        <v>538.3</v>
      </c>
      <c r="P125" s="184">
        <f t="shared" si="90"/>
        <v>0</v>
      </c>
      <c r="Q125" s="184">
        <f t="shared" si="91"/>
        <v>0</v>
      </c>
      <c r="R125" s="297"/>
      <c r="S125" s="264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</row>
    <row r="126" spans="1:49" ht="12">
      <c r="A126" s="284" t="s">
        <v>192</v>
      </c>
      <c r="B126" s="220"/>
      <c r="C126" s="285">
        <f t="shared" si="84"/>
        <v>0</v>
      </c>
      <c r="D126" s="285">
        <f t="shared" si="84"/>
        <v>0</v>
      </c>
      <c r="E126" s="184">
        <f t="shared" si="82"/>
        <v>0</v>
      </c>
      <c r="F126" s="285">
        <f t="shared" si="85"/>
        <v>538.3</v>
      </c>
      <c r="G126" s="184">
        <f t="shared" si="83"/>
        <v>538.3</v>
      </c>
      <c r="H126" s="285">
        <f t="shared" si="86"/>
        <v>0</v>
      </c>
      <c r="I126" s="310">
        <f t="shared" si="87"/>
        <v>18</v>
      </c>
      <c r="J126" s="310">
        <f t="shared" si="88"/>
        <v>18</v>
      </c>
      <c r="K126" s="259"/>
      <c r="L126" s="259"/>
      <c r="M126" s="259"/>
      <c r="N126" s="20"/>
      <c r="O126" s="184">
        <f t="shared" si="89"/>
        <v>538.3</v>
      </c>
      <c r="P126" s="184">
        <f t="shared" si="90"/>
        <v>0</v>
      </c>
      <c r="Q126" s="184">
        <f t="shared" si="91"/>
        <v>0</v>
      </c>
      <c r="R126" s="297"/>
      <c r="S126" s="20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59"/>
      <c r="AU126" s="259"/>
      <c r="AV126" s="259"/>
      <c r="AW126" s="259"/>
    </row>
    <row r="127" spans="1:49" ht="15">
      <c r="A127" s="282">
        <f>A114+1</f>
        <v>2002</v>
      </c>
      <c r="B127" s="28"/>
      <c r="C127" s="28"/>
      <c r="D127" s="28"/>
      <c r="E127" s="306">
        <f>SUM(E128:E139)</f>
        <v>0</v>
      </c>
      <c r="F127" s="287"/>
      <c r="G127" s="283">
        <f>SUM(G128:G139)</f>
        <v>6459.600000000001</v>
      </c>
      <c r="H127" s="309">
        <f>SUM(H128:H139)</f>
        <v>0</v>
      </c>
      <c r="I127" s="311">
        <f>SUM(I128:I139)</f>
        <v>216</v>
      </c>
      <c r="J127" s="311">
        <f>SUM(J128:J139)</f>
        <v>216</v>
      </c>
      <c r="K127" s="259"/>
      <c r="L127" s="259"/>
      <c r="M127" s="259"/>
      <c r="N127" s="264"/>
      <c r="O127" s="136">
        <f>SUM(O128:O139)</f>
        <v>6459.600000000001</v>
      </c>
      <c r="P127" s="136">
        <f>SUM(P128:P139)</f>
        <v>0</v>
      </c>
      <c r="Q127" s="136">
        <f>SUM(Q128:Q139)</f>
        <v>0</v>
      </c>
      <c r="R127" s="136">
        <f>J127/I127</f>
        <v>1</v>
      </c>
      <c r="S127" s="264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59"/>
      <c r="AU127" s="259"/>
      <c r="AV127" s="259"/>
      <c r="AW127" s="259"/>
    </row>
    <row r="128" spans="1:49" ht="12">
      <c r="A128" s="284" t="s">
        <v>181</v>
      </c>
      <c r="B128" s="220"/>
      <c r="C128" s="285">
        <f>C126</f>
        <v>0</v>
      </c>
      <c r="D128" s="285">
        <f>D126</f>
        <v>0</v>
      </c>
      <c r="E128" s="184">
        <f aca="true" t="shared" si="92" ref="E128:E139">C128+D128</f>
        <v>0</v>
      </c>
      <c r="F128" s="285">
        <f>F126</f>
        <v>538.3</v>
      </c>
      <c r="G128" s="184">
        <f aca="true" t="shared" si="93" ref="G128:G139">SUM(E128:F128)</f>
        <v>538.3</v>
      </c>
      <c r="H128" s="285">
        <f>H126</f>
        <v>0</v>
      </c>
      <c r="I128" s="310">
        <f>I126</f>
        <v>18</v>
      </c>
      <c r="J128" s="310">
        <f>J126</f>
        <v>18</v>
      </c>
      <c r="K128" s="259"/>
      <c r="L128" s="259"/>
      <c r="M128" s="259"/>
      <c r="N128" s="20"/>
      <c r="O128" s="184">
        <f>G128/I128*J128</f>
        <v>538.3</v>
      </c>
      <c r="P128" s="184">
        <f>E128*0.18/I128*J128</f>
        <v>0</v>
      </c>
      <c r="Q128" s="184">
        <f>H128/I128*J128</f>
        <v>0</v>
      </c>
      <c r="R128" s="297"/>
      <c r="S128" s="20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59"/>
      <c r="AU128" s="259"/>
      <c r="AV128" s="259"/>
      <c r="AW128" s="259"/>
    </row>
    <row r="129" spans="1:49" ht="15">
      <c r="A129" s="284" t="s">
        <v>182</v>
      </c>
      <c r="B129" s="220"/>
      <c r="C129" s="285">
        <f aca="true" t="shared" si="94" ref="C129:D139">C128</f>
        <v>0</v>
      </c>
      <c r="D129" s="285">
        <f t="shared" si="94"/>
        <v>0</v>
      </c>
      <c r="E129" s="184">
        <f t="shared" si="92"/>
        <v>0</v>
      </c>
      <c r="F129" s="285">
        <f aca="true" t="shared" si="95" ref="F129:F139">F128</f>
        <v>538.3</v>
      </c>
      <c r="G129" s="184">
        <f t="shared" si="93"/>
        <v>538.3</v>
      </c>
      <c r="H129" s="285">
        <f aca="true" t="shared" si="96" ref="H129:H139">H128</f>
        <v>0</v>
      </c>
      <c r="I129" s="310">
        <f aca="true" t="shared" si="97" ref="I129:I139">I128</f>
        <v>18</v>
      </c>
      <c r="J129" s="310">
        <f aca="true" t="shared" si="98" ref="J129:J139">J128</f>
        <v>18</v>
      </c>
      <c r="K129" s="259"/>
      <c r="L129" s="259"/>
      <c r="M129" s="259"/>
      <c r="N129" s="264"/>
      <c r="O129" s="184">
        <f aca="true" t="shared" si="99" ref="O129:O139">G129/I129*J129</f>
        <v>538.3</v>
      </c>
      <c r="P129" s="184">
        <f aca="true" t="shared" si="100" ref="P129:P139">E129*0.18/I129*J129</f>
        <v>0</v>
      </c>
      <c r="Q129" s="184">
        <f aca="true" t="shared" si="101" ref="Q129:Q139">H129/I129*J129</f>
        <v>0</v>
      </c>
      <c r="R129" s="297"/>
      <c r="S129" s="264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</row>
    <row r="130" spans="1:49" ht="12">
      <c r="A130" s="284" t="s">
        <v>183</v>
      </c>
      <c r="B130" s="220"/>
      <c r="C130" s="285">
        <f t="shared" si="94"/>
        <v>0</v>
      </c>
      <c r="D130" s="285">
        <f t="shared" si="94"/>
        <v>0</v>
      </c>
      <c r="E130" s="184">
        <f t="shared" si="92"/>
        <v>0</v>
      </c>
      <c r="F130" s="285">
        <f t="shared" si="95"/>
        <v>538.3</v>
      </c>
      <c r="G130" s="184">
        <f t="shared" si="93"/>
        <v>538.3</v>
      </c>
      <c r="H130" s="285">
        <f t="shared" si="96"/>
        <v>0</v>
      </c>
      <c r="I130" s="310">
        <f t="shared" si="97"/>
        <v>18</v>
      </c>
      <c r="J130" s="310">
        <f t="shared" si="98"/>
        <v>18</v>
      </c>
      <c r="K130" s="259"/>
      <c r="L130" s="259"/>
      <c r="M130" s="259"/>
      <c r="N130" s="20"/>
      <c r="O130" s="184">
        <f t="shared" si="99"/>
        <v>538.3</v>
      </c>
      <c r="P130" s="184">
        <f t="shared" si="100"/>
        <v>0</v>
      </c>
      <c r="Q130" s="184">
        <f t="shared" si="101"/>
        <v>0</v>
      </c>
      <c r="R130" s="297"/>
      <c r="S130" s="20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59"/>
      <c r="AU130" s="259"/>
      <c r="AV130" s="259"/>
      <c r="AW130" s="259"/>
    </row>
    <row r="131" spans="1:49" ht="15">
      <c r="A131" s="284" t="s">
        <v>184</v>
      </c>
      <c r="B131" s="220"/>
      <c r="C131" s="285">
        <f t="shared" si="94"/>
        <v>0</v>
      </c>
      <c r="D131" s="285">
        <f t="shared" si="94"/>
        <v>0</v>
      </c>
      <c r="E131" s="184">
        <f t="shared" si="92"/>
        <v>0</v>
      </c>
      <c r="F131" s="285">
        <f t="shared" si="95"/>
        <v>538.3</v>
      </c>
      <c r="G131" s="184">
        <f t="shared" si="93"/>
        <v>538.3</v>
      </c>
      <c r="H131" s="285">
        <f t="shared" si="96"/>
        <v>0</v>
      </c>
      <c r="I131" s="310">
        <f t="shared" si="97"/>
        <v>18</v>
      </c>
      <c r="J131" s="310">
        <f t="shared" si="98"/>
        <v>18</v>
      </c>
      <c r="K131" s="259"/>
      <c r="L131" s="259"/>
      <c r="M131" s="259"/>
      <c r="N131" s="264"/>
      <c r="O131" s="184">
        <f t="shared" si="99"/>
        <v>538.3</v>
      </c>
      <c r="P131" s="184">
        <f t="shared" si="100"/>
        <v>0</v>
      </c>
      <c r="Q131" s="184">
        <f t="shared" si="101"/>
        <v>0</v>
      </c>
      <c r="R131" s="297"/>
      <c r="S131" s="264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</row>
    <row r="132" spans="1:49" ht="12">
      <c r="A132" s="284" t="s">
        <v>185</v>
      </c>
      <c r="B132" s="220"/>
      <c r="C132" s="285">
        <f t="shared" si="94"/>
        <v>0</v>
      </c>
      <c r="D132" s="285">
        <f t="shared" si="94"/>
        <v>0</v>
      </c>
      <c r="E132" s="184">
        <f t="shared" si="92"/>
        <v>0</v>
      </c>
      <c r="F132" s="285">
        <f t="shared" si="95"/>
        <v>538.3</v>
      </c>
      <c r="G132" s="184">
        <f t="shared" si="93"/>
        <v>538.3</v>
      </c>
      <c r="H132" s="285">
        <f t="shared" si="96"/>
        <v>0</v>
      </c>
      <c r="I132" s="310">
        <f t="shared" si="97"/>
        <v>18</v>
      </c>
      <c r="J132" s="310">
        <f t="shared" si="98"/>
        <v>18</v>
      </c>
      <c r="K132" s="259"/>
      <c r="L132" s="259"/>
      <c r="M132" s="259"/>
      <c r="N132" s="20"/>
      <c r="O132" s="184">
        <f t="shared" si="99"/>
        <v>538.3</v>
      </c>
      <c r="P132" s="184">
        <f t="shared" si="100"/>
        <v>0</v>
      </c>
      <c r="Q132" s="184">
        <f t="shared" si="101"/>
        <v>0</v>
      </c>
      <c r="R132" s="297"/>
      <c r="S132" s="20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</row>
    <row r="133" spans="1:49" ht="15">
      <c r="A133" s="284" t="s">
        <v>186</v>
      </c>
      <c r="B133" s="220"/>
      <c r="C133" s="285">
        <f t="shared" si="94"/>
        <v>0</v>
      </c>
      <c r="D133" s="285">
        <f t="shared" si="94"/>
        <v>0</v>
      </c>
      <c r="E133" s="184">
        <f t="shared" si="92"/>
        <v>0</v>
      </c>
      <c r="F133" s="285">
        <f t="shared" si="95"/>
        <v>538.3</v>
      </c>
      <c r="G133" s="184">
        <f t="shared" si="93"/>
        <v>538.3</v>
      </c>
      <c r="H133" s="285">
        <f t="shared" si="96"/>
        <v>0</v>
      </c>
      <c r="I133" s="310">
        <f t="shared" si="97"/>
        <v>18</v>
      </c>
      <c r="J133" s="310">
        <f t="shared" si="98"/>
        <v>18</v>
      </c>
      <c r="K133" s="259"/>
      <c r="L133" s="259"/>
      <c r="M133" s="259"/>
      <c r="N133" s="264"/>
      <c r="O133" s="184">
        <f t="shared" si="99"/>
        <v>538.3</v>
      </c>
      <c r="P133" s="184">
        <f t="shared" si="100"/>
        <v>0</v>
      </c>
      <c r="Q133" s="184">
        <f t="shared" si="101"/>
        <v>0</v>
      </c>
      <c r="R133" s="297"/>
      <c r="S133" s="264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</row>
    <row r="134" spans="1:49" ht="12">
      <c r="A134" s="284" t="s">
        <v>187</v>
      </c>
      <c r="B134" s="220"/>
      <c r="C134" s="285">
        <f t="shared" si="94"/>
        <v>0</v>
      </c>
      <c r="D134" s="285">
        <f t="shared" si="94"/>
        <v>0</v>
      </c>
      <c r="E134" s="184">
        <f t="shared" si="92"/>
        <v>0</v>
      </c>
      <c r="F134" s="285">
        <f t="shared" si="95"/>
        <v>538.3</v>
      </c>
      <c r="G134" s="184">
        <f t="shared" si="93"/>
        <v>538.3</v>
      </c>
      <c r="H134" s="285">
        <f t="shared" si="96"/>
        <v>0</v>
      </c>
      <c r="I134" s="310">
        <f t="shared" si="97"/>
        <v>18</v>
      </c>
      <c r="J134" s="310">
        <f t="shared" si="98"/>
        <v>18</v>
      </c>
      <c r="K134" s="259"/>
      <c r="L134" s="259"/>
      <c r="M134" s="259"/>
      <c r="N134" s="20"/>
      <c r="O134" s="184">
        <f t="shared" si="99"/>
        <v>538.3</v>
      </c>
      <c r="P134" s="184">
        <f t="shared" si="100"/>
        <v>0</v>
      </c>
      <c r="Q134" s="184">
        <f t="shared" si="101"/>
        <v>0</v>
      </c>
      <c r="R134" s="297"/>
      <c r="S134" s="20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</row>
    <row r="135" spans="1:49" ht="15">
      <c r="A135" s="284" t="s">
        <v>188</v>
      </c>
      <c r="B135" s="220"/>
      <c r="C135" s="285">
        <f t="shared" si="94"/>
        <v>0</v>
      </c>
      <c r="D135" s="285">
        <f t="shared" si="94"/>
        <v>0</v>
      </c>
      <c r="E135" s="184">
        <f t="shared" si="92"/>
        <v>0</v>
      </c>
      <c r="F135" s="285">
        <f t="shared" si="95"/>
        <v>538.3</v>
      </c>
      <c r="G135" s="184">
        <f t="shared" si="93"/>
        <v>538.3</v>
      </c>
      <c r="H135" s="285">
        <f t="shared" si="96"/>
        <v>0</v>
      </c>
      <c r="I135" s="310">
        <f t="shared" si="97"/>
        <v>18</v>
      </c>
      <c r="J135" s="310">
        <f t="shared" si="98"/>
        <v>18</v>
      </c>
      <c r="K135" s="259"/>
      <c r="L135" s="259"/>
      <c r="M135" s="259"/>
      <c r="N135" s="264"/>
      <c r="O135" s="184">
        <f t="shared" si="99"/>
        <v>538.3</v>
      </c>
      <c r="P135" s="184">
        <f t="shared" si="100"/>
        <v>0</v>
      </c>
      <c r="Q135" s="184">
        <f t="shared" si="101"/>
        <v>0</v>
      </c>
      <c r="R135" s="297"/>
      <c r="S135" s="264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</row>
    <row r="136" spans="1:49" ht="12">
      <c r="A136" s="284" t="s">
        <v>189</v>
      </c>
      <c r="B136" s="220"/>
      <c r="C136" s="285">
        <f t="shared" si="94"/>
        <v>0</v>
      </c>
      <c r="D136" s="285">
        <f t="shared" si="94"/>
        <v>0</v>
      </c>
      <c r="E136" s="184">
        <f t="shared" si="92"/>
        <v>0</v>
      </c>
      <c r="F136" s="285">
        <f t="shared" si="95"/>
        <v>538.3</v>
      </c>
      <c r="G136" s="184">
        <f t="shared" si="93"/>
        <v>538.3</v>
      </c>
      <c r="H136" s="285">
        <f t="shared" si="96"/>
        <v>0</v>
      </c>
      <c r="I136" s="310">
        <f t="shared" si="97"/>
        <v>18</v>
      </c>
      <c r="J136" s="310">
        <f t="shared" si="98"/>
        <v>18</v>
      </c>
      <c r="K136" s="259"/>
      <c r="L136" s="259"/>
      <c r="M136" s="259"/>
      <c r="N136" s="20"/>
      <c r="O136" s="184">
        <f t="shared" si="99"/>
        <v>538.3</v>
      </c>
      <c r="P136" s="184">
        <f t="shared" si="100"/>
        <v>0</v>
      </c>
      <c r="Q136" s="184">
        <f t="shared" si="101"/>
        <v>0</v>
      </c>
      <c r="R136" s="297"/>
      <c r="S136" s="20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</row>
    <row r="137" spans="1:49" ht="15">
      <c r="A137" s="284" t="s">
        <v>190</v>
      </c>
      <c r="B137" s="220"/>
      <c r="C137" s="285">
        <f t="shared" si="94"/>
        <v>0</v>
      </c>
      <c r="D137" s="285">
        <f t="shared" si="94"/>
        <v>0</v>
      </c>
      <c r="E137" s="184">
        <f t="shared" si="92"/>
        <v>0</v>
      </c>
      <c r="F137" s="285">
        <f t="shared" si="95"/>
        <v>538.3</v>
      </c>
      <c r="G137" s="184">
        <f t="shared" si="93"/>
        <v>538.3</v>
      </c>
      <c r="H137" s="285">
        <f t="shared" si="96"/>
        <v>0</v>
      </c>
      <c r="I137" s="310">
        <f t="shared" si="97"/>
        <v>18</v>
      </c>
      <c r="J137" s="310">
        <f t="shared" si="98"/>
        <v>18</v>
      </c>
      <c r="K137" s="259"/>
      <c r="L137" s="259"/>
      <c r="M137" s="259"/>
      <c r="N137" s="264"/>
      <c r="O137" s="184">
        <f t="shared" si="99"/>
        <v>538.3</v>
      </c>
      <c r="P137" s="184">
        <f t="shared" si="100"/>
        <v>0</v>
      </c>
      <c r="Q137" s="184">
        <f t="shared" si="101"/>
        <v>0</v>
      </c>
      <c r="R137" s="297"/>
      <c r="S137" s="264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</row>
    <row r="138" spans="1:49" ht="12">
      <c r="A138" s="284" t="s">
        <v>191</v>
      </c>
      <c r="B138" s="220"/>
      <c r="C138" s="285">
        <f t="shared" si="94"/>
        <v>0</v>
      </c>
      <c r="D138" s="285">
        <f t="shared" si="94"/>
        <v>0</v>
      </c>
      <c r="E138" s="184">
        <f t="shared" si="92"/>
        <v>0</v>
      </c>
      <c r="F138" s="285">
        <f t="shared" si="95"/>
        <v>538.3</v>
      </c>
      <c r="G138" s="184">
        <f t="shared" si="93"/>
        <v>538.3</v>
      </c>
      <c r="H138" s="285">
        <f t="shared" si="96"/>
        <v>0</v>
      </c>
      <c r="I138" s="310">
        <f t="shared" si="97"/>
        <v>18</v>
      </c>
      <c r="J138" s="310">
        <f t="shared" si="98"/>
        <v>18</v>
      </c>
      <c r="K138" s="259"/>
      <c r="L138" s="259"/>
      <c r="M138" s="259"/>
      <c r="N138" s="20"/>
      <c r="O138" s="184">
        <f t="shared" si="99"/>
        <v>538.3</v>
      </c>
      <c r="P138" s="184">
        <f t="shared" si="100"/>
        <v>0</v>
      </c>
      <c r="Q138" s="184">
        <f t="shared" si="101"/>
        <v>0</v>
      </c>
      <c r="R138" s="297"/>
      <c r="S138" s="20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</row>
    <row r="139" spans="1:49" ht="15">
      <c r="A139" s="284" t="s">
        <v>192</v>
      </c>
      <c r="B139" s="220"/>
      <c r="C139" s="285">
        <f t="shared" si="94"/>
        <v>0</v>
      </c>
      <c r="D139" s="285">
        <f t="shared" si="94"/>
        <v>0</v>
      </c>
      <c r="E139" s="184">
        <f t="shared" si="92"/>
        <v>0</v>
      </c>
      <c r="F139" s="285">
        <f t="shared" si="95"/>
        <v>538.3</v>
      </c>
      <c r="G139" s="184">
        <f t="shared" si="93"/>
        <v>538.3</v>
      </c>
      <c r="H139" s="285">
        <f t="shared" si="96"/>
        <v>0</v>
      </c>
      <c r="I139" s="310">
        <f t="shared" si="97"/>
        <v>18</v>
      </c>
      <c r="J139" s="310">
        <f t="shared" si="98"/>
        <v>18</v>
      </c>
      <c r="K139" s="259"/>
      <c r="L139" s="259"/>
      <c r="M139" s="259"/>
      <c r="N139" s="264"/>
      <c r="O139" s="184">
        <f t="shared" si="99"/>
        <v>538.3</v>
      </c>
      <c r="P139" s="184">
        <f t="shared" si="100"/>
        <v>0</v>
      </c>
      <c r="Q139" s="184">
        <f t="shared" si="101"/>
        <v>0</v>
      </c>
      <c r="R139" s="297"/>
      <c r="S139" s="264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</row>
    <row r="140" spans="1:49" ht="12.75">
      <c r="A140" s="282">
        <f>A127+1</f>
        <v>2003</v>
      </c>
      <c r="B140" s="28"/>
      <c r="C140" s="28"/>
      <c r="D140" s="28"/>
      <c r="E140" s="306">
        <f>SUM(E141:E152)</f>
        <v>0</v>
      </c>
      <c r="F140" s="287"/>
      <c r="G140" s="283">
        <f>SUM(G141:G152)</f>
        <v>6459.600000000001</v>
      </c>
      <c r="H140" s="309">
        <f>SUM(H141:H152)</f>
        <v>0</v>
      </c>
      <c r="I140" s="311">
        <f>SUM(I141:I152)</f>
        <v>216</v>
      </c>
      <c r="J140" s="311">
        <f>SUM(J141:J152)</f>
        <v>216</v>
      </c>
      <c r="K140" s="259"/>
      <c r="L140" s="259"/>
      <c r="M140" s="259"/>
      <c r="N140" s="20"/>
      <c r="O140" s="136">
        <f>SUM(O141:O152)</f>
        <v>6459.600000000001</v>
      </c>
      <c r="P140" s="136">
        <f>SUM(P141:P152)</f>
        <v>0</v>
      </c>
      <c r="Q140" s="136">
        <f>SUM(Q141:Q152)</f>
        <v>0</v>
      </c>
      <c r="R140" s="136">
        <f>J140/I140</f>
        <v>1</v>
      </c>
      <c r="S140" s="20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</row>
    <row r="141" spans="1:49" ht="15">
      <c r="A141" s="284" t="s">
        <v>181</v>
      </c>
      <c r="B141" s="220"/>
      <c r="C141" s="285">
        <f>C139</f>
        <v>0</v>
      </c>
      <c r="D141" s="285">
        <f>D139</f>
        <v>0</v>
      </c>
      <c r="E141" s="184">
        <f aca="true" t="shared" si="102" ref="E141:E152">C141+D141</f>
        <v>0</v>
      </c>
      <c r="F141" s="285">
        <f>F139</f>
        <v>538.3</v>
      </c>
      <c r="G141" s="184">
        <f aca="true" t="shared" si="103" ref="G141:G152">SUM(E141:F141)</f>
        <v>538.3</v>
      </c>
      <c r="H141" s="285">
        <f>H139</f>
        <v>0</v>
      </c>
      <c r="I141" s="310">
        <f>I139</f>
        <v>18</v>
      </c>
      <c r="J141" s="310">
        <f>J139</f>
        <v>18</v>
      </c>
      <c r="K141" s="259"/>
      <c r="L141" s="259"/>
      <c r="M141" s="259"/>
      <c r="N141" s="264"/>
      <c r="O141" s="184">
        <f>G141/I141*J141</f>
        <v>538.3</v>
      </c>
      <c r="P141" s="184">
        <f>E141*0.18/I141*J141</f>
        <v>0</v>
      </c>
      <c r="Q141" s="184">
        <f>H141/I141*J141</f>
        <v>0</v>
      </c>
      <c r="R141" s="297"/>
      <c r="S141" s="264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</row>
    <row r="142" spans="1:49" ht="12">
      <c r="A142" s="284" t="s">
        <v>182</v>
      </c>
      <c r="B142" s="220"/>
      <c r="C142" s="285">
        <f aca="true" t="shared" si="104" ref="C142:D152">C141</f>
        <v>0</v>
      </c>
      <c r="D142" s="285">
        <f t="shared" si="104"/>
        <v>0</v>
      </c>
      <c r="E142" s="184">
        <f t="shared" si="102"/>
        <v>0</v>
      </c>
      <c r="F142" s="285">
        <f aca="true" t="shared" si="105" ref="F142:F152">F141</f>
        <v>538.3</v>
      </c>
      <c r="G142" s="184">
        <f t="shared" si="103"/>
        <v>538.3</v>
      </c>
      <c r="H142" s="285">
        <f aca="true" t="shared" si="106" ref="H142:H152">H141</f>
        <v>0</v>
      </c>
      <c r="I142" s="310">
        <f aca="true" t="shared" si="107" ref="I142:I152">I141</f>
        <v>18</v>
      </c>
      <c r="J142" s="310">
        <f aca="true" t="shared" si="108" ref="J142:J152">J141</f>
        <v>18</v>
      </c>
      <c r="K142" s="259"/>
      <c r="L142" s="259"/>
      <c r="M142" s="259"/>
      <c r="N142" s="20"/>
      <c r="O142" s="184">
        <f aca="true" t="shared" si="109" ref="O142:O152">G142/I142*J142</f>
        <v>538.3</v>
      </c>
      <c r="P142" s="184">
        <f aca="true" t="shared" si="110" ref="P142:P152">E142*0.18/I142*J142</f>
        <v>0</v>
      </c>
      <c r="Q142" s="184">
        <f aca="true" t="shared" si="111" ref="Q142:Q152">H142/I142*J142</f>
        <v>0</v>
      </c>
      <c r="R142" s="297"/>
      <c r="S142" s="20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</row>
    <row r="143" spans="1:49" ht="15">
      <c r="A143" s="284" t="s">
        <v>183</v>
      </c>
      <c r="B143" s="220"/>
      <c r="C143" s="285">
        <f t="shared" si="104"/>
        <v>0</v>
      </c>
      <c r="D143" s="285">
        <f t="shared" si="104"/>
        <v>0</v>
      </c>
      <c r="E143" s="184">
        <f t="shared" si="102"/>
        <v>0</v>
      </c>
      <c r="F143" s="285">
        <f t="shared" si="105"/>
        <v>538.3</v>
      </c>
      <c r="G143" s="184">
        <f t="shared" si="103"/>
        <v>538.3</v>
      </c>
      <c r="H143" s="285">
        <f t="shared" si="106"/>
        <v>0</v>
      </c>
      <c r="I143" s="310">
        <f t="shared" si="107"/>
        <v>18</v>
      </c>
      <c r="J143" s="310">
        <f t="shared" si="108"/>
        <v>18</v>
      </c>
      <c r="K143" s="259"/>
      <c r="L143" s="259"/>
      <c r="M143" s="259"/>
      <c r="N143" s="264"/>
      <c r="O143" s="184">
        <f t="shared" si="109"/>
        <v>538.3</v>
      </c>
      <c r="P143" s="184">
        <f t="shared" si="110"/>
        <v>0</v>
      </c>
      <c r="Q143" s="184">
        <f t="shared" si="111"/>
        <v>0</v>
      </c>
      <c r="R143" s="297"/>
      <c r="S143" s="264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</row>
    <row r="144" spans="1:49" ht="12">
      <c r="A144" s="284" t="s">
        <v>184</v>
      </c>
      <c r="B144" s="220"/>
      <c r="C144" s="285">
        <f t="shared" si="104"/>
        <v>0</v>
      </c>
      <c r="D144" s="285">
        <f t="shared" si="104"/>
        <v>0</v>
      </c>
      <c r="E144" s="184">
        <f t="shared" si="102"/>
        <v>0</v>
      </c>
      <c r="F144" s="285">
        <f t="shared" si="105"/>
        <v>538.3</v>
      </c>
      <c r="G144" s="184">
        <f t="shared" si="103"/>
        <v>538.3</v>
      </c>
      <c r="H144" s="285">
        <f t="shared" si="106"/>
        <v>0</v>
      </c>
      <c r="I144" s="310">
        <f t="shared" si="107"/>
        <v>18</v>
      </c>
      <c r="J144" s="310">
        <f t="shared" si="108"/>
        <v>18</v>
      </c>
      <c r="K144" s="259"/>
      <c r="L144" s="259"/>
      <c r="M144" s="259"/>
      <c r="N144" s="20"/>
      <c r="O144" s="184">
        <f t="shared" si="109"/>
        <v>538.3</v>
      </c>
      <c r="P144" s="184">
        <f t="shared" si="110"/>
        <v>0</v>
      </c>
      <c r="Q144" s="184">
        <f t="shared" si="111"/>
        <v>0</v>
      </c>
      <c r="R144" s="297"/>
      <c r="S144" s="20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59"/>
      <c r="AU144" s="259"/>
      <c r="AV144" s="259"/>
      <c r="AW144" s="259"/>
    </row>
    <row r="145" spans="1:49" ht="15">
      <c r="A145" s="284" t="s">
        <v>185</v>
      </c>
      <c r="B145" s="220"/>
      <c r="C145" s="285">
        <f t="shared" si="104"/>
        <v>0</v>
      </c>
      <c r="D145" s="285">
        <f t="shared" si="104"/>
        <v>0</v>
      </c>
      <c r="E145" s="184">
        <f t="shared" si="102"/>
        <v>0</v>
      </c>
      <c r="F145" s="285">
        <f t="shared" si="105"/>
        <v>538.3</v>
      </c>
      <c r="G145" s="184">
        <f t="shared" si="103"/>
        <v>538.3</v>
      </c>
      <c r="H145" s="285">
        <f t="shared" si="106"/>
        <v>0</v>
      </c>
      <c r="I145" s="310">
        <f t="shared" si="107"/>
        <v>18</v>
      </c>
      <c r="J145" s="310">
        <f t="shared" si="108"/>
        <v>18</v>
      </c>
      <c r="K145" s="259"/>
      <c r="L145" s="259"/>
      <c r="M145" s="259"/>
      <c r="N145" s="264"/>
      <c r="O145" s="184">
        <f t="shared" si="109"/>
        <v>538.3</v>
      </c>
      <c r="P145" s="184">
        <f t="shared" si="110"/>
        <v>0</v>
      </c>
      <c r="Q145" s="184">
        <f t="shared" si="111"/>
        <v>0</v>
      </c>
      <c r="R145" s="297"/>
      <c r="S145" s="264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59"/>
      <c r="AU145" s="259"/>
      <c r="AV145" s="259"/>
      <c r="AW145" s="259"/>
    </row>
    <row r="146" spans="1:49" ht="12">
      <c r="A146" s="284" t="s">
        <v>186</v>
      </c>
      <c r="B146" s="220"/>
      <c r="C146" s="285">
        <f t="shared" si="104"/>
        <v>0</v>
      </c>
      <c r="D146" s="285">
        <f t="shared" si="104"/>
        <v>0</v>
      </c>
      <c r="E146" s="184">
        <f t="shared" si="102"/>
        <v>0</v>
      </c>
      <c r="F146" s="285">
        <f t="shared" si="105"/>
        <v>538.3</v>
      </c>
      <c r="G146" s="184">
        <f t="shared" si="103"/>
        <v>538.3</v>
      </c>
      <c r="H146" s="285">
        <f t="shared" si="106"/>
        <v>0</v>
      </c>
      <c r="I146" s="310">
        <f t="shared" si="107"/>
        <v>18</v>
      </c>
      <c r="J146" s="310">
        <f t="shared" si="108"/>
        <v>18</v>
      </c>
      <c r="K146" s="259"/>
      <c r="L146" s="259"/>
      <c r="M146" s="259"/>
      <c r="N146" s="20"/>
      <c r="O146" s="184">
        <f t="shared" si="109"/>
        <v>538.3</v>
      </c>
      <c r="P146" s="184">
        <f t="shared" si="110"/>
        <v>0</v>
      </c>
      <c r="Q146" s="184">
        <f t="shared" si="111"/>
        <v>0</v>
      </c>
      <c r="R146" s="297"/>
      <c r="S146" s="20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</row>
    <row r="147" spans="1:49" ht="15">
      <c r="A147" s="284" t="s">
        <v>187</v>
      </c>
      <c r="B147" s="220"/>
      <c r="C147" s="285">
        <f t="shared" si="104"/>
        <v>0</v>
      </c>
      <c r="D147" s="285">
        <f t="shared" si="104"/>
        <v>0</v>
      </c>
      <c r="E147" s="184">
        <f t="shared" si="102"/>
        <v>0</v>
      </c>
      <c r="F147" s="285">
        <f t="shared" si="105"/>
        <v>538.3</v>
      </c>
      <c r="G147" s="184">
        <f t="shared" si="103"/>
        <v>538.3</v>
      </c>
      <c r="H147" s="285">
        <f t="shared" si="106"/>
        <v>0</v>
      </c>
      <c r="I147" s="310">
        <f t="shared" si="107"/>
        <v>18</v>
      </c>
      <c r="J147" s="310">
        <f t="shared" si="108"/>
        <v>18</v>
      </c>
      <c r="K147" s="259"/>
      <c r="L147" s="259"/>
      <c r="M147" s="259"/>
      <c r="N147" s="264"/>
      <c r="O147" s="184">
        <f t="shared" si="109"/>
        <v>538.3</v>
      </c>
      <c r="P147" s="184">
        <f t="shared" si="110"/>
        <v>0</v>
      </c>
      <c r="Q147" s="184">
        <f t="shared" si="111"/>
        <v>0</v>
      </c>
      <c r="R147" s="297"/>
      <c r="S147" s="264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</row>
    <row r="148" spans="1:49" ht="12">
      <c r="A148" s="284" t="s">
        <v>188</v>
      </c>
      <c r="B148" s="220"/>
      <c r="C148" s="285">
        <f t="shared" si="104"/>
        <v>0</v>
      </c>
      <c r="D148" s="285">
        <f t="shared" si="104"/>
        <v>0</v>
      </c>
      <c r="E148" s="184">
        <f t="shared" si="102"/>
        <v>0</v>
      </c>
      <c r="F148" s="285">
        <f t="shared" si="105"/>
        <v>538.3</v>
      </c>
      <c r="G148" s="184">
        <f t="shared" si="103"/>
        <v>538.3</v>
      </c>
      <c r="H148" s="285">
        <f t="shared" si="106"/>
        <v>0</v>
      </c>
      <c r="I148" s="310">
        <f t="shared" si="107"/>
        <v>18</v>
      </c>
      <c r="J148" s="310">
        <f t="shared" si="108"/>
        <v>18</v>
      </c>
      <c r="K148" s="259"/>
      <c r="L148" s="259"/>
      <c r="M148" s="259"/>
      <c r="N148" s="20"/>
      <c r="O148" s="184">
        <f t="shared" si="109"/>
        <v>538.3</v>
      </c>
      <c r="P148" s="184">
        <f t="shared" si="110"/>
        <v>0</v>
      </c>
      <c r="Q148" s="184">
        <f t="shared" si="111"/>
        <v>0</v>
      </c>
      <c r="R148" s="297"/>
      <c r="S148" s="20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59"/>
      <c r="AT148" s="259"/>
      <c r="AU148" s="259"/>
      <c r="AV148" s="259"/>
      <c r="AW148" s="259"/>
    </row>
    <row r="149" spans="1:49" ht="15">
      <c r="A149" s="284" t="s">
        <v>189</v>
      </c>
      <c r="B149" s="220"/>
      <c r="C149" s="285">
        <f t="shared" si="104"/>
        <v>0</v>
      </c>
      <c r="D149" s="285">
        <f t="shared" si="104"/>
        <v>0</v>
      </c>
      <c r="E149" s="184">
        <f t="shared" si="102"/>
        <v>0</v>
      </c>
      <c r="F149" s="285">
        <f t="shared" si="105"/>
        <v>538.3</v>
      </c>
      <c r="G149" s="184">
        <f t="shared" si="103"/>
        <v>538.3</v>
      </c>
      <c r="H149" s="285">
        <f t="shared" si="106"/>
        <v>0</v>
      </c>
      <c r="I149" s="310">
        <f t="shared" si="107"/>
        <v>18</v>
      </c>
      <c r="J149" s="310">
        <f t="shared" si="108"/>
        <v>18</v>
      </c>
      <c r="K149" s="259"/>
      <c r="L149" s="259"/>
      <c r="M149" s="259"/>
      <c r="N149" s="264"/>
      <c r="O149" s="184">
        <f t="shared" si="109"/>
        <v>538.3</v>
      </c>
      <c r="P149" s="184">
        <f t="shared" si="110"/>
        <v>0</v>
      </c>
      <c r="Q149" s="184">
        <f t="shared" si="111"/>
        <v>0</v>
      </c>
      <c r="R149" s="297"/>
      <c r="S149" s="264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59"/>
    </row>
    <row r="150" spans="1:49" ht="12">
      <c r="A150" s="284" t="s">
        <v>190</v>
      </c>
      <c r="B150" s="220"/>
      <c r="C150" s="285">
        <f t="shared" si="104"/>
        <v>0</v>
      </c>
      <c r="D150" s="285">
        <f t="shared" si="104"/>
        <v>0</v>
      </c>
      <c r="E150" s="184">
        <f t="shared" si="102"/>
        <v>0</v>
      </c>
      <c r="F150" s="285">
        <f t="shared" si="105"/>
        <v>538.3</v>
      </c>
      <c r="G150" s="184">
        <f t="shared" si="103"/>
        <v>538.3</v>
      </c>
      <c r="H150" s="285">
        <f t="shared" si="106"/>
        <v>0</v>
      </c>
      <c r="I150" s="310">
        <f t="shared" si="107"/>
        <v>18</v>
      </c>
      <c r="J150" s="310">
        <f t="shared" si="108"/>
        <v>18</v>
      </c>
      <c r="K150" s="259"/>
      <c r="L150" s="259"/>
      <c r="M150" s="259"/>
      <c r="N150" s="20"/>
      <c r="O150" s="184">
        <f t="shared" si="109"/>
        <v>538.3</v>
      </c>
      <c r="P150" s="184">
        <f t="shared" si="110"/>
        <v>0</v>
      </c>
      <c r="Q150" s="184">
        <f t="shared" si="111"/>
        <v>0</v>
      </c>
      <c r="R150" s="297"/>
      <c r="S150" s="20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59"/>
      <c r="AT150" s="259"/>
      <c r="AU150" s="259"/>
      <c r="AV150" s="259"/>
      <c r="AW150" s="259"/>
    </row>
    <row r="151" spans="1:49" ht="15">
      <c r="A151" s="284" t="s">
        <v>191</v>
      </c>
      <c r="B151" s="220"/>
      <c r="C151" s="285">
        <f t="shared" si="104"/>
        <v>0</v>
      </c>
      <c r="D151" s="285">
        <f t="shared" si="104"/>
        <v>0</v>
      </c>
      <c r="E151" s="184">
        <f t="shared" si="102"/>
        <v>0</v>
      </c>
      <c r="F151" s="285">
        <f t="shared" si="105"/>
        <v>538.3</v>
      </c>
      <c r="G151" s="184">
        <f t="shared" si="103"/>
        <v>538.3</v>
      </c>
      <c r="H151" s="285">
        <f t="shared" si="106"/>
        <v>0</v>
      </c>
      <c r="I151" s="310">
        <f t="shared" si="107"/>
        <v>18</v>
      </c>
      <c r="J151" s="310">
        <f t="shared" si="108"/>
        <v>18</v>
      </c>
      <c r="K151" s="259"/>
      <c r="L151" s="259"/>
      <c r="M151" s="259"/>
      <c r="N151" s="264"/>
      <c r="O151" s="184">
        <f t="shared" si="109"/>
        <v>538.3</v>
      </c>
      <c r="P151" s="184">
        <f t="shared" si="110"/>
        <v>0</v>
      </c>
      <c r="Q151" s="184">
        <f t="shared" si="111"/>
        <v>0</v>
      </c>
      <c r="R151" s="297"/>
      <c r="S151" s="264"/>
      <c r="T151" s="259"/>
      <c r="U151" s="259"/>
      <c r="V151" s="259"/>
      <c r="W151" s="259"/>
      <c r="X151" s="259"/>
      <c r="Y151" s="259"/>
      <c r="Z151" s="259"/>
      <c r="AA151" s="259"/>
      <c r="AB151" s="259"/>
      <c r="AC151" s="259"/>
      <c r="AD151" s="259"/>
      <c r="AE151" s="259"/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59"/>
      <c r="AR151" s="259"/>
      <c r="AS151" s="259"/>
      <c r="AT151" s="259"/>
      <c r="AU151" s="259"/>
      <c r="AV151" s="259"/>
      <c r="AW151" s="259"/>
    </row>
    <row r="152" spans="1:49" ht="12">
      <c r="A152" s="284" t="s">
        <v>192</v>
      </c>
      <c r="B152" s="220"/>
      <c r="C152" s="285">
        <f t="shared" si="104"/>
        <v>0</v>
      </c>
      <c r="D152" s="285">
        <f t="shared" si="104"/>
        <v>0</v>
      </c>
      <c r="E152" s="184">
        <f t="shared" si="102"/>
        <v>0</v>
      </c>
      <c r="F152" s="285">
        <f t="shared" si="105"/>
        <v>538.3</v>
      </c>
      <c r="G152" s="184">
        <f t="shared" si="103"/>
        <v>538.3</v>
      </c>
      <c r="H152" s="285">
        <f t="shared" si="106"/>
        <v>0</v>
      </c>
      <c r="I152" s="310">
        <f t="shared" si="107"/>
        <v>18</v>
      </c>
      <c r="J152" s="310">
        <f t="shared" si="108"/>
        <v>18</v>
      </c>
      <c r="K152" s="259"/>
      <c r="L152" s="259"/>
      <c r="M152" s="259"/>
      <c r="N152" s="20"/>
      <c r="O152" s="184">
        <f t="shared" si="109"/>
        <v>538.3</v>
      </c>
      <c r="P152" s="184">
        <f t="shared" si="110"/>
        <v>0</v>
      </c>
      <c r="Q152" s="184">
        <f t="shared" si="111"/>
        <v>0</v>
      </c>
      <c r="R152" s="297"/>
      <c r="S152" s="20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59"/>
      <c r="AD152" s="259"/>
      <c r="AE152" s="259"/>
      <c r="AF152" s="259"/>
      <c r="AG152" s="259"/>
      <c r="AH152" s="259"/>
      <c r="AI152" s="259"/>
      <c r="AJ152" s="259"/>
      <c r="AK152" s="259"/>
      <c r="AL152" s="259"/>
      <c r="AM152" s="259"/>
      <c r="AN152" s="259"/>
      <c r="AO152" s="259"/>
      <c r="AP152" s="259"/>
      <c r="AQ152" s="259"/>
      <c r="AR152" s="259"/>
      <c r="AS152" s="259"/>
      <c r="AT152" s="259"/>
      <c r="AU152" s="259"/>
      <c r="AV152" s="259"/>
      <c r="AW152" s="259"/>
    </row>
    <row r="153" spans="1:49" ht="15">
      <c r="A153" s="282">
        <f>A140+1</f>
        <v>2004</v>
      </c>
      <c r="B153" s="28"/>
      <c r="C153" s="28"/>
      <c r="D153" s="28"/>
      <c r="E153" s="306">
        <f>SUM(E154:E165)</f>
        <v>0</v>
      </c>
      <c r="F153" s="287"/>
      <c r="G153" s="283">
        <f>SUM(G154:G165)</f>
        <v>6459.600000000001</v>
      </c>
      <c r="H153" s="309">
        <f>SUM(H154:H165)</f>
        <v>0</v>
      </c>
      <c r="I153" s="311">
        <f>SUM(I154:I165)</f>
        <v>216</v>
      </c>
      <c r="J153" s="311">
        <f>SUM(J154:J165)</f>
        <v>216</v>
      </c>
      <c r="K153" s="259"/>
      <c r="L153" s="259"/>
      <c r="M153" s="259"/>
      <c r="N153" s="264"/>
      <c r="O153" s="136">
        <f>SUM(O154:O165)</f>
        <v>6459.600000000001</v>
      </c>
      <c r="P153" s="136">
        <f>SUM(P154:P165)</f>
        <v>0</v>
      </c>
      <c r="Q153" s="136">
        <f>SUM(Q154:Q165)</f>
        <v>0</v>
      </c>
      <c r="R153" s="136">
        <f>J153/I153</f>
        <v>1</v>
      </c>
      <c r="S153" s="264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59"/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</row>
    <row r="154" spans="1:49" ht="12">
      <c r="A154" s="284" t="s">
        <v>181</v>
      </c>
      <c r="B154" s="220"/>
      <c r="C154" s="285">
        <f>C152</f>
        <v>0</v>
      </c>
      <c r="D154" s="285">
        <f>D152</f>
        <v>0</v>
      </c>
      <c r="E154" s="184">
        <f aca="true" t="shared" si="112" ref="E154:E165">C154+D154</f>
        <v>0</v>
      </c>
      <c r="F154" s="285">
        <f>F152</f>
        <v>538.3</v>
      </c>
      <c r="G154" s="184">
        <f aca="true" t="shared" si="113" ref="G154:G165">SUM(E154:F154)</f>
        <v>538.3</v>
      </c>
      <c r="H154" s="285">
        <f>H152</f>
        <v>0</v>
      </c>
      <c r="I154" s="310">
        <f>I152</f>
        <v>18</v>
      </c>
      <c r="J154" s="310">
        <f>J152</f>
        <v>18</v>
      </c>
      <c r="K154" s="259"/>
      <c r="L154" s="259"/>
      <c r="M154" s="259"/>
      <c r="N154" s="20"/>
      <c r="O154" s="184">
        <f>G154/I154*J154</f>
        <v>538.3</v>
      </c>
      <c r="P154" s="184">
        <f>E154*0.18/I154*J154</f>
        <v>0</v>
      </c>
      <c r="Q154" s="184">
        <f>H154/I154*J154</f>
        <v>0</v>
      </c>
      <c r="R154" s="297"/>
      <c r="S154" s="20"/>
      <c r="T154" s="259"/>
      <c r="U154" s="259"/>
      <c r="V154" s="259"/>
      <c r="W154" s="259"/>
      <c r="X154" s="259"/>
      <c r="Y154" s="259"/>
      <c r="Z154" s="259"/>
      <c r="AA154" s="259"/>
      <c r="AB154" s="259"/>
      <c r="AC154" s="259"/>
      <c r="AD154" s="259"/>
      <c r="AE154" s="259"/>
      <c r="AF154" s="259"/>
      <c r="AG154" s="259"/>
      <c r="AH154" s="259"/>
      <c r="AI154" s="259"/>
      <c r="AJ154" s="259"/>
      <c r="AK154" s="259"/>
      <c r="AL154" s="259"/>
      <c r="AM154" s="259"/>
      <c r="AN154" s="259"/>
      <c r="AO154" s="259"/>
      <c r="AP154" s="259"/>
      <c r="AQ154" s="259"/>
      <c r="AR154" s="259"/>
      <c r="AS154" s="259"/>
      <c r="AT154" s="259"/>
      <c r="AU154" s="259"/>
      <c r="AV154" s="259"/>
      <c r="AW154" s="259"/>
    </row>
    <row r="155" spans="1:49" ht="15">
      <c r="A155" s="284" t="s">
        <v>182</v>
      </c>
      <c r="B155" s="220"/>
      <c r="C155" s="285">
        <f aca="true" t="shared" si="114" ref="C155:D165">C154</f>
        <v>0</v>
      </c>
      <c r="D155" s="285">
        <f t="shared" si="114"/>
        <v>0</v>
      </c>
      <c r="E155" s="184">
        <f t="shared" si="112"/>
        <v>0</v>
      </c>
      <c r="F155" s="285">
        <f aca="true" t="shared" si="115" ref="F155:F165">F154</f>
        <v>538.3</v>
      </c>
      <c r="G155" s="184">
        <f t="shared" si="113"/>
        <v>538.3</v>
      </c>
      <c r="H155" s="285">
        <f aca="true" t="shared" si="116" ref="H155:H165">H154</f>
        <v>0</v>
      </c>
      <c r="I155" s="310">
        <f aca="true" t="shared" si="117" ref="I155:I165">I154</f>
        <v>18</v>
      </c>
      <c r="J155" s="310">
        <f aca="true" t="shared" si="118" ref="J155:J165">J154</f>
        <v>18</v>
      </c>
      <c r="K155" s="259"/>
      <c r="L155" s="259"/>
      <c r="M155" s="259"/>
      <c r="N155" s="264"/>
      <c r="O155" s="184">
        <f aca="true" t="shared" si="119" ref="O155:O165">G155/I155*J155</f>
        <v>538.3</v>
      </c>
      <c r="P155" s="184">
        <f aca="true" t="shared" si="120" ref="P155:P165">E155*0.18/I155*J155</f>
        <v>0</v>
      </c>
      <c r="Q155" s="184">
        <f aca="true" t="shared" si="121" ref="Q155:Q165">H155/I155*J155</f>
        <v>0</v>
      </c>
      <c r="R155" s="297"/>
      <c r="S155" s="264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59"/>
      <c r="AD155" s="259"/>
      <c r="AE155" s="259"/>
      <c r="AF155" s="259"/>
      <c r="AG155" s="259"/>
      <c r="AH155" s="259"/>
      <c r="AI155" s="259"/>
      <c r="AJ155" s="259"/>
      <c r="AK155" s="259"/>
      <c r="AL155" s="259"/>
      <c r="AM155" s="259"/>
      <c r="AN155" s="259"/>
      <c r="AO155" s="259"/>
      <c r="AP155" s="259"/>
      <c r="AQ155" s="259"/>
      <c r="AR155" s="259"/>
      <c r="AS155" s="259"/>
      <c r="AT155" s="259"/>
      <c r="AU155" s="259"/>
      <c r="AV155" s="259"/>
      <c r="AW155" s="259"/>
    </row>
    <row r="156" spans="1:49" ht="12">
      <c r="A156" s="284" t="s">
        <v>183</v>
      </c>
      <c r="B156" s="220"/>
      <c r="C156" s="285">
        <f t="shared" si="114"/>
        <v>0</v>
      </c>
      <c r="D156" s="285">
        <f t="shared" si="114"/>
        <v>0</v>
      </c>
      <c r="E156" s="184">
        <f t="shared" si="112"/>
        <v>0</v>
      </c>
      <c r="F156" s="285">
        <f t="shared" si="115"/>
        <v>538.3</v>
      </c>
      <c r="G156" s="184">
        <f t="shared" si="113"/>
        <v>538.3</v>
      </c>
      <c r="H156" s="285">
        <f t="shared" si="116"/>
        <v>0</v>
      </c>
      <c r="I156" s="310">
        <f t="shared" si="117"/>
        <v>18</v>
      </c>
      <c r="J156" s="310">
        <f t="shared" si="118"/>
        <v>18</v>
      </c>
      <c r="K156" s="259"/>
      <c r="L156" s="259"/>
      <c r="M156" s="259"/>
      <c r="N156" s="20"/>
      <c r="O156" s="184">
        <f t="shared" si="119"/>
        <v>538.3</v>
      </c>
      <c r="P156" s="184">
        <f t="shared" si="120"/>
        <v>0</v>
      </c>
      <c r="Q156" s="184">
        <f t="shared" si="121"/>
        <v>0</v>
      </c>
      <c r="R156" s="297"/>
      <c r="S156" s="20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59"/>
      <c r="AE156" s="259"/>
      <c r="AF156" s="259"/>
      <c r="AG156" s="259"/>
      <c r="AH156" s="259"/>
      <c r="AI156" s="259"/>
      <c r="AJ156" s="259"/>
      <c r="AK156" s="259"/>
      <c r="AL156" s="259"/>
      <c r="AM156" s="259"/>
      <c r="AN156" s="259"/>
      <c r="AO156" s="259"/>
      <c r="AP156" s="259"/>
      <c r="AQ156" s="259"/>
      <c r="AR156" s="259"/>
      <c r="AS156" s="259"/>
      <c r="AT156" s="259"/>
      <c r="AU156" s="259"/>
      <c r="AV156" s="259"/>
      <c r="AW156" s="259"/>
    </row>
    <row r="157" spans="1:49" ht="15">
      <c r="A157" s="284" t="s">
        <v>184</v>
      </c>
      <c r="B157" s="220"/>
      <c r="C157" s="285">
        <f t="shared" si="114"/>
        <v>0</v>
      </c>
      <c r="D157" s="285">
        <f t="shared" si="114"/>
        <v>0</v>
      </c>
      <c r="E157" s="184">
        <f t="shared" si="112"/>
        <v>0</v>
      </c>
      <c r="F157" s="285">
        <f t="shared" si="115"/>
        <v>538.3</v>
      </c>
      <c r="G157" s="184">
        <f t="shared" si="113"/>
        <v>538.3</v>
      </c>
      <c r="H157" s="285">
        <f t="shared" si="116"/>
        <v>0</v>
      </c>
      <c r="I157" s="310">
        <f t="shared" si="117"/>
        <v>18</v>
      </c>
      <c r="J157" s="310">
        <f t="shared" si="118"/>
        <v>18</v>
      </c>
      <c r="K157" s="259"/>
      <c r="L157" s="259"/>
      <c r="M157" s="259"/>
      <c r="N157" s="264"/>
      <c r="O157" s="184">
        <f t="shared" si="119"/>
        <v>538.3</v>
      </c>
      <c r="P157" s="184">
        <f t="shared" si="120"/>
        <v>0</v>
      </c>
      <c r="Q157" s="184">
        <f t="shared" si="121"/>
        <v>0</v>
      </c>
      <c r="R157" s="297"/>
      <c r="S157" s="264"/>
      <c r="T157" s="259"/>
      <c r="U157" s="259"/>
      <c r="V157" s="259"/>
      <c r="W157" s="259"/>
      <c r="X157" s="259"/>
      <c r="Y157" s="259"/>
      <c r="Z157" s="259"/>
      <c r="AA157" s="259"/>
      <c r="AB157" s="259"/>
      <c r="AC157" s="259"/>
      <c r="AD157" s="259"/>
      <c r="AE157" s="259"/>
      <c r="AF157" s="259"/>
      <c r="AG157" s="259"/>
      <c r="AH157" s="259"/>
      <c r="AI157" s="259"/>
      <c r="AJ157" s="259"/>
      <c r="AK157" s="259"/>
      <c r="AL157" s="259"/>
      <c r="AM157" s="259"/>
      <c r="AN157" s="259"/>
      <c r="AO157" s="259"/>
      <c r="AP157" s="259"/>
      <c r="AQ157" s="259"/>
      <c r="AR157" s="259"/>
      <c r="AS157" s="259"/>
      <c r="AT157" s="259"/>
      <c r="AU157" s="259"/>
      <c r="AV157" s="259"/>
      <c r="AW157" s="259"/>
    </row>
    <row r="158" spans="1:49" ht="12">
      <c r="A158" s="284" t="s">
        <v>185</v>
      </c>
      <c r="B158" s="220"/>
      <c r="C158" s="285">
        <f t="shared" si="114"/>
        <v>0</v>
      </c>
      <c r="D158" s="285">
        <f t="shared" si="114"/>
        <v>0</v>
      </c>
      <c r="E158" s="184">
        <f t="shared" si="112"/>
        <v>0</v>
      </c>
      <c r="F158" s="285">
        <f t="shared" si="115"/>
        <v>538.3</v>
      </c>
      <c r="G158" s="184">
        <f t="shared" si="113"/>
        <v>538.3</v>
      </c>
      <c r="H158" s="285">
        <f t="shared" si="116"/>
        <v>0</v>
      </c>
      <c r="I158" s="310">
        <f t="shared" si="117"/>
        <v>18</v>
      </c>
      <c r="J158" s="310">
        <f t="shared" si="118"/>
        <v>18</v>
      </c>
      <c r="K158" s="259"/>
      <c r="L158" s="259"/>
      <c r="M158" s="259"/>
      <c r="N158" s="20"/>
      <c r="O158" s="184">
        <f t="shared" si="119"/>
        <v>538.3</v>
      </c>
      <c r="P158" s="184">
        <f t="shared" si="120"/>
        <v>0</v>
      </c>
      <c r="Q158" s="184">
        <f t="shared" si="121"/>
        <v>0</v>
      </c>
      <c r="R158" s="297"/>
      <c r="S158" s="20"/>
      <c r="T158" s="259"/>
      <c r="U158" s="259"/>
      <c r="V158" s="259"/>
      <c r="W158" s="259"/>
      <c r="X158" s="259"/>
      <c r="Y158" s="259"/>
      <c r="Z158" s="259"/>
      <c r="AA158" s="259"/>
      <c r="AB158" s="259"/>
      <c r="AC158" s="259"/>
      <c r="AD158" s="259"/>
      <c r="AE158" s="259"/>
      <c r="AF158" s="259"/>
      <c r="AG158" s="259"/>
      <c r="AH158" s="259"/>
      <c r="AI158" s="259"/>
      <c r="AJ158" s="259"/>
      <c r="AK158" s="259"/>
      <c r="AL158" s="259"/>
      <c r="AM158" s="259"/>
      <c r="AN158" s="259"/>
      <c r="AO158" s="259"/>
      <c r="AP158" s="259"/>
      <c r="AQ158" s="259"/>
      <c r="AR158" s="259"/>
      <c r="AS158" s="259"/>
      <c r="AT158" s="259"/>
      <c r="AU158" s="259"/>
      <c r="AV158" s="259"/>
      <c r="AW158" s="259"/>
    </row>
    <row r="159" spans="1:49" ht="15">
      <c r="A159" s="284" t="s">
        <v>186</v>
      </c>
      <c r="B159" s="220"/>
      <c r="C159" s="285">
        <f t="shared" si="114"/>
        <v>0</v>
      </c>
      <c r="D159" s="285">
        <f t="shared" si="114"/>
        <v>0</v>
      </c>
      <c r="E159" s="184">
        <f t="shared" si="112"/>
        <v>0</v>
      </c>
      <c r="F159" s="285">
        <f t="shared" si="115"/>
        <v>538.3</v>
      </c>
      <c r="G159" s="184">
        <f t="shared" si="113"/>
        <v>538.3</v>
      </c>
      <c r="H159" s="285">
        <f t="shared" si="116"/>
        <v>0</v>
      </c>
      <c r="I159" s="310">
        <f t="shared" si="117"/>
        <v>18</v>
      </c>
      <c r="J159" s="310">
        <f t="shared" si="118"/>
        <v>18</v>
      </c>
      <c r="K159" s="259"/>
      <c r="L159" s="259"/>
      <c r="M159" s="259"/>
      <c r="N159" s="264"/>
      <c r="O159" s="184">
        <f t="shared" si="119"/>
        <v>538.3</v>
      </c>
      <c r="P159" s="184">
        <f t="shared" si="120"/>
        <v>0</v>
      </c>
      <c r="Q159" s="184">
        <f t="shared" si="121"/>
        <v>0</v>
      </c>
      <c r="R159" s="297"/>
      <c r="S159" s="264"/>
      <c r="T159" s="259"/>
      <c r="U159" s="259"/>
      <c r="V159" s="259"/>
      <c r="W159" s="259"/>
      <c r="X159" s="259"/>
      <c r="Y159" s="259"/>
      <c r="Z159" s="259"/>
      <c r="AA159" s="259"/>
      <c r="AB159" s="259"/>
      <c r="AC159" s="259"/>
      <c r="AD159" s="259"/>
      <c r="AE159" s="259"/>
      <c r="AF159" s="259"/>
      <c r="AG159" s="259"/>
      <c r="AH159" s="259"/>
      <c r="AI159" s="259"/>
      <c r="AJ159" s="259"/>
      <c r="AK159" s="259"/>
      <c r="AL159" s="259"/>
      <c r="AM159" s="259"/>
      <c r="AN159" s="259"/>
      <c r="AO159" s="259"/>
      <c r="AP159" s="259"/>
      <c r="AQ159" s="259"/>
      <c r="AR159" s="259"/>
      <c r="AS159" s="259"/>
      <c r="AT159" s="259"/>
      <c r="AU159" s="259"/>
      <c r="AV159" s="259"/>
      <c r="AW159" s="259"/>
    </row>
    <row r="160" spans="1:49" ht="12">
      <c r="A160" s="284" t="s">
        <v>187</v>
      </c>
      <c r="B160" s="220"/>
      <c r="C160" s="285">
        <f t="shared" si="114"/>
        <v>0</v>
      </c>
      <c r="D160" s="285">
        <f t="shared" si="114"/>
        <v>0</v>
      </c>
      <c r="E160" s="184">
        <f t="shared" si="112"/>
        <v>0</v>
      </c>
      <c r="F160" s="285">
        <f t="shared" si="115"/>
        <v>538.3</v>
      </c>
      <c r="G160" s="184">
        <f t="shared" si="113"/>
        <v>538.3</v>
      </c>
      <c r="H160" s="285">
        <f t="shared" si="116"/>
        <v>0</v>
      </c>
      <c r="I160" s="310">
        <f t="shared" si="117"/>
        <v>18</v>
      </c>
      <c r="J160" s="310">
        <f t="shared" si="118"/>
        <v>18</v>
      </c>
      <c r="K160" s="259"/>
      <c r="L160" s="259"/>
      <c r="M160" s="259"/>
      <c r="N160" s="20"/>
      <c r="O160" s="184">
        <f t="shared" si="119"/>
        <v>538.3</v>
      </c>
      <c r="P160" s="184">
        <f t="shared" si="120"/>
        <v>0</v>
      </c>
      <c r="Q160" s="184">
        <f t="shared" si="121"/>
        <v>0</v>
      </c>
      <c r="R160" s="297"/>
      <c r="S160" s="20"/>
      <c r="T160" s="259"/>
      <c r="U160" s="259"/>
      <c r="V160" s="259"/>
      <c r="W160" s="259"/>
      <c r="X160" s="259"/>
      <c r="Y160" s="259"/>
      <c r="Z160" s="259"/>
      <c r="AA160" s="259"/>
      <c r="AB160" s="259"/>
      <c r="AC160" s="259"/>
      <c r="AD160" s="259"/>
      <c r="AE160" s="259"/>
      <c r="AF160" s="259"/>
      <c r="AG160" s="259"/>
      <c r="AH160" s="259"/>
      <c r="AI160" s="259"/>
      <c r="AJ160" s="259"/>
      <c r="AK160" s="259"/>
      <c r="AL160" s="259"/>
      <c r="AM160" s="259"/>
      <c r="AN160" s="259"/>
      <c r="AO160" s="259"/>
      <c r="AP160" s="259"/>
      <c r="AQ160" s="259"/>
      <c r="AR160" s="259"/>
      <c r="AS160" s="259"/>
      <c r="AT160" s="259"/>
      <c r="AU160" s="259"/>
      <c r="AV160" s="259"/>
      <c r="AW160" s="259"/>
    </row>
    <row r="161" spans="1:49" ht="15">
      <c r="A161" s="284" t="s">
        <v>188</v>
      </c>
      <c r="B161" s="220"/>
      <c r="C161" s="285">
        <f t="shared" si="114"/>
        <v>0</v>
      </c>
      <c r="D161" s="285">
        <f t="shared" si="114"/>
        <v>0</v>
      </c>
      <c r="E161" s="184">
        <f t="shared" si="112"/>
        <v>0</v>
      </c>
      <c r="F161" s="285">
        <f t="shared" si="115"/>
        <v>538.3</v>
      </c>
      <c r="G161" s="184">
        <f t="shared" si="113"/>
        <v>538.3</v>
      </c>
      <c r="H161" s="285">
        <f t="shared" si="116"/>
        <v>0</v>
      </c>
      <c r="I161" s="310">
        <f t="shared" si="117"/>
        <v>18</v>
      </c>
      <c r="J161" s="310">
        <f t="shared" si="118"/>
        <v>18</v>
      </c>
      <c r="K161" s="259"/>
      <c r="L161" s="259"/>
      <c r="M161" s="259"/>
      <c r="N161" s="264"/>
      <c r="O161" s="184">
        <f t="shared" si="119"/>
        <v>538.3</v>
      </c>
      <c r="P161" s="184">
        <f t="shared" si="120"/>
        <v>0</v>
      </c>
      <c r="Q161" s="184">
        <f t="shared" si="121"/>
        <v>0</v>
      </c>
      <c r="R161" s="297"/>
      <c r="S161" s="264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59"/>
      <c r="AD161" s="259"/>
      <c r="AE161" s="259"/>
      <c r="AF161" s="259"/>
      <c r="AG161" s="259"/>
      <c r="AH161" s="259"/>
      <c r="AI161" s="259"/>
      <c r="AJ161" s="259"/>
      <c r="AK161" s="259"/>
      <c r="AL161" s="259"/>
      <c r="AM161" s="259"/>
      <c r="AN161" s="259"/>
      <c r="AO161" s="259"/>
      <c r="AP161" s="259"/>
      <c r="AQ161" s="259"/>
      <c r="AR161" s="259"/>
      <c r="AS161" s="259"/>
      <c r="AT161" s="259"/>
      <c r="AU161" s="259"/>
      <c r="AV161" s="259"/>
      <c r="AW161" s="259"/>
    </row>
    <row r="162" spans="1:49" ht="12">
      <c r="A162" s="284" t="s">
        <v>189</v>
      </c>
      <c r="B162" s="220"/>
      <c r="C162" s="285">
        <f t="shared" si="114"/>
        <v>0</v>
      </c>
      <c r="D162" s="285">
        <f t="shared" si="114"/>
        <v>0</v>
      </c>
      <c r="E162" s="184">
        <f t="shared" si="112"/>
        <v>0</v>
      </c>
      <c r="F162" s="285">
        <f t="shared" si="115"/>
        <v>538.3</v>
      </c>
      <c r="G162" s="184">
        <f t="shared" si="113"/>
        <v>538.3</v>
      </c>
      <c r="H162" s="285">
        <f t="shared" si="116"/>
        <v>0</v>
      </c>
      <c r="I162" s="310">
        <f t="shared" si="117"/>
        <v>18</v>
      </c>
      <c r="J162" s="310">
        <f t="shared" si="118"/>
        <v>18</v>
      </c>
      <c r="K162" s="259"/>
      <c r="L162" s="259"/>
      <c r="M162" s="259"/>
      <c r="N162" s="20"/>
      <c r="O162" s="184">
        <f t="shared" si="119"/>
        <v>538.3</v>
      </c>
      <c r="P162" s="184">
        <f t="shared" si="120"/>
        <v>0</v>
      </c>
      <c r="Q162" s="184">
        <f t="shared" si="121"/>
        <v>0</v>
      </c>
      <c r="R162" s="297"/>
      <c r="S162" s="20"/>
      <c r="T162" s="259"/>
      <c r="U162" s="259"/>
      <c r="V162" s="259"/>
      <c r="W162" s="259"/>
      <c r="X162" s="259"/>
      <c r="Y162" s="259"/>
      <c r="Z162" s="259"/>
      <c r="AA162" s="259"/>
      <c r="AB162" s="259"/>
      <c r="AC162" s="259"/>
      <c r="AD162" s="259"/>
      <c r="AE162" s="259"/>
      <c r="AF162" s="259"/>
      <c r="AG162" s="259"/>
      <c r="AH162" s="259"/>
      <c r="AI162" s="259"/>
      <c r="AJ162" s="259"/>
      <c r="AK162" s="259"/>
      <c r="AL162" s="259"/>
      <c r="AM162" s="259"/>
      <c r="AN162" s="259"/>
      <c r="AO162" s="259"/>
      <c r="AP162" s="259"/>
      <c r="AQ162" s="259"/>
      <c r="AR162" s="259"/>
      <c r="AS162" s="259"/>
      <c r="AT162" s="259"/>
      <c r="AU162" s="259"/>
      <c r="AV162" s="259"/>
      <c r="AW162" s="259"/>
    </row>
    <row r="163" spans="1:49" ht="15">
      <c r="A163" s="284" t="s">
        <v>190</v>
      </c>
      <c r="B163" s="220"/>
      <c r="C163" s="285">
        <f t="shared" si="114"/>
        <v>0</v>
      </c>
      <c r="D163" s="285">
        <f t="shared" si="114"/>
        <v>0</v>
      </c>
      <c r="E163" s="184">
        <f t="shared" si="112"/>
        <v>0</v>
      </c>
      <c r="F163" s="285">
        <f t="shared" si="115"/>
        <v>538.3</v>
      </c>
      <c r="G163" s="184">
        <f t="shared" si="113"/>
        <v>538.3</v>
      </c>
      <c r="H163" s="285">
        <f t="shared" si="116"/>
        <v>0</v>
      </c>
      <c r="I163" s="310">
        <f t="shared" si="117"/>
        <v>18</v>
      </c>
      <c r="J163" s="310">
        <f t="shared" si="118"/>
        <v>18</v>
      </c>
      <c r="K163" s="259"/>
      <c r="L163" s="259"/>
      <c r="M163" s="259"/>
      <c r="N163" s="264"/>
      <c r="O163" s="184">
        <f t="shared" si="119"/>
        <v>538.3</v>
      </c>
      <c r="P163" s="184">
        <f t="shared" si="120"/>
        <v>0</v>
      </c>
      <c r="Q163" s="184">
        <f t="shared" si="121"/>
        <v>0</v>
      </c>
      <c r="R163" s="297"/>
      <c r="S163" s="264"/>
      <c r="T163" s="259"/>
      <c r="U163" s="259"/>
      <c r="V163" s="259"/>
      <c r="W163" s="259"/>
      <c r="X163" s="259"/>
      <c r="Y163" s="259"/>
      <c r="Z163" s="259"/>
      <c r="AA163" s="259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59"/>
      <c r="AR163" s="259"/>
      <c r="AS163" s="259"/>
      <c r="AT163" s="259"/>
      <c r="AU163" s="259"/>
      <c r="AV163" s="259"/>
      <c r="AW163" s="259"/>
    </row>
    <row r="164" spans="1:49" ht="12">
      <c r="A164" s="284" t="s">
        <v>191</v>
      </c>
      <c r="B164" s="220"/>
      <c r="C164" s="285">
        <f t="shared" si="114"/>
        <v>0</v>
      </c>
      <c r="D164" s="285">
        <f t="shared" si="114"/>
        <v>0</v>
      </c>
      <c r="E164" s="184">
        <f t="shared" si="112"/>
        <v>0</v>
      </c>
      <c r="F164" s="285">
        <f t="shared" si="115"/>
        <v>538.3</v>
      </c>
      <c r="G164" s="184">
        <f t="shared" si="113"/>
        <v>538.3</v>
      </c>
      <c r="H164" s="285">
        <f t="shared" si="116"/>
        <v>0</v>
      </c>
      <c r="I164" s="310">
        <f t="shared" si="117"/>
        <v>18</v>
      </c>
      <c r="J164" s="310">
        <f t="shared" si="118"/>
        <v>18</v>
      </c>
      <c r="K164" s="259"/>
      <c r="L164" s="259"/>
      <c r="M164" s="259"/>
      <c r="N164" s="20"/>
      <c r="O164" s="184">
        <f t="shared" si="119"/>
        <v>538.3</v>
      </c>
      <c r="P164" s="184">
        <f t="shared" si="120"/>
        <v>0</v>
      </c>
      <c r="Q164" s="184">
        <f t="shared" si="121"/>
        <v>0</v>
      </c>
      <c r="R164" s="297"/>
      <c r="S164" s="20"/>
      <c r="T164" s="259"/>
      <c r="U164" s="259"/>
      <c r="V164" s="259"/>
      <c r="W164" s="259"/>
      <c r="X164" s="259"/>
      <c r="Y164" s="259"/>
      <c r="Z164" s="259"/>
      <c r="AA164" s="259"/>
      <c r="AB164" s="259"/>
      <c r="AC164" s="259"/>
      <c r="AD164" s="259"/>
      <c r="AE164" s="259"/>
      <c r="AF164" s="259"/>
      <c r="AG164" s="259"/>
      <c r="AH164" s="259"/>
      <c r="AI164" s="259"/>
      <c r="AJ164" s="259"/>
      <c r="AK164" s="259"/>
      <c r="AL164" s="259"/>
      <c r="AM164" s="259"/>
      <c r="AN164" s="259"/>
      <c r="AO164" s="259"/>
      <c r="AP164" s="259"/>
      <c r="AQ164" s="259"/>
      <c r="AR164" s="259"/>
      <c r="AS164" s="259"/>
      <c r="AT164" s="259"/>
      <c r="AU164" s="259"/>
      <c r="AV164" s="259"/>
      <c r="AW164" s="259"/>
    </row>
    <row r="165" spans="1:49" ht="15">
      <c r="A165" s="284" t="s">
        <v>192</v>
      </c>
      <c r="B165" s="220"/>
      <c r="C165" s="285">
        <f t="shared" si="114"/>
        <v>0</v>
      </c>
      <c r="D165" s="285">
        <f t="shared" si="114"/>
        <v>0</v>
      </c>
      <c r="E165" s="184">
        <f t="shared" si="112"/>
        <v>0</v>
      </c>
      <c r="F165" s="285">
        <f t="shared" si="115"/>
        <v>538.3</v>
      </c>
      <c r="G165" s="184">
        <f t="shared" si="113"/>
        <v>538.3</v>
      </c>
      <c r="H165" s="285">
        <f t="shared" si="116"/>
        <v>0</v>
      </c>
      <c r="I165" s="310">
        <f t="shared" si="117"/>
        <v>18</v>
      </c>
      <c r="J165" s="310">
        <f t="shared" si="118"/>
        <v>18</v>
      </c>
      <c r="K165" s="259"/>
      <c r="L165" s="259"/>
      <c r="M165" s="259"/>
      <c r="N165" s="264"/>
      <c r="O165" s="184">
        <f t="shared" si="119"/>
        <v>538.3</v>
      </c>
      <c r="P165" s="184">
        <f t="shared" si="120"/>
        <v>0</v>
      </c>
      <c r="Q165" s="184">
        <f t="shared" si="121"/>
        <v>0</v>
      </c>
      <c r="R165" s="297"/>
      <c r="S165" s="264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59"/>
      <c r="AR165" s="259"/>
      <c r="AS165" s="259"/>
      <c r="AT165" s="259"/>
      <c r="AU165" s="259"/>
      <c r="AV165" s="259"/>
      <c r="AW165" s="259"/>
    </row>
    <row r="166" spans="1:49" ht="12.75">
      <c r="A166" s="282">
        <f>A153+1</f>
        <v>2005</v>
      </c>
      <c r="B166" s="28"/>
      <c r="C166" s="28"/>
      <c r="D166" s="28"/>
      <c r="E166" s="306">
        <f>SUM(E167:E178)</f>
        <v>0</v>
      </c>
      <c r="F166" s="287"/>
      <c r="G166" s="283">
        <f>SUM(G167:G178)</f>
        <v>6459.600000000001</v>
      </c>
      <c r="H166" s="309">
        <f>SUM(H167:H178)</f>
        <v>0</v>
      </c>
      <c r="I166" s="311">
        <f>SUM(I167:I178)</f>
        <v>216</v>
      </c>
      <c r="J166" s="311">
        <f>SUM(J167:J178)</f>
        <v>216</v>
      </c>
      <c r="K166" s="259"/>
      <c r="L166" s="259"/>
      <c r="M166" s="259"/>
      <c r="N166" s="20"/>
      <c r="O166" s="136">
        <f>SUM(O167:O178)</f>
        <v>6459.600000000001</v>
      </c>
      <c r="P166" s="136">
        <f>SUM(P167:P178)</f>
        <v>0</v>
      </c>
      <c r="Q166" s="136">
        <f>SUM(Q167:Q178)</f>
        <v>0</v>
      </c>
      <c r="R166" s="136">
        <f>J166/I166</f>
        <v>1</v>
      </c>
      <c r="S166" s="20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259"/>
      <c r="AE166" s="259"/>
      <c r="AF166" s="259"/>
      <c r="AG166" s="259"/>
      <c r="AH166" s="259"/>
      <c r="AI166" s="259"/>
      <c r="AJ166" s="259"/>
      <c r="AK166" s="259"/>
      <c r="AL166" s="259"/>
      <c r="AM166" s="259"/>
      <c r="AN166" s="259"/>
      <c r="AO166" s="259"/>
      <c r="AP166" s="259"/>
      <c r="AQ166" s="259"/>
      <c r="AR166" s="259"/>
      <c r="AS166" s="259"/>
      <c r="AT166" s="259"/>
      <c r="AU166" s="259"/>
      <c r="AV166" s="259"/>
      <c r="AW166" s="259"/>
    </row>
    <row r="167" spans="1:49" ht="15">
      <c r="A167" s="284" t="s">
        <v>181</v>
      </c>
      <c r="B167" s="220"/>
      <c r="C167" s="285">
        <f>C165</f>
        <v>0</v>
      </c>
      <c r="D167" s="285">
        <f>D165</f>
        <v>0</v>
      </c>
      <c r="E167" s="184">
        <f aca="true" t="shared" si="122" ref="E167:E178">C167+D167</f>
        <v>0</v>
      </c>
      <c r="F167" s="285">
        <f>F165</f>
        <v>538.3</v>
      </c>
      <c r="G167" s="184">
        <f aca="true" t="shared" si="123" ref="G167:G178">SUM(E167:F167)</f>
        <v>538.3</v>
      </c>
      <c r="H167" s="285">
        <f>H165</f>
        <v>0</v>
      </c>
      <c r="I167" s="310">
        <f>I165</f>
        <v>18</v>
      </c>
      <c r="J167" s="310">
        <f>J165</f>
        <v>18</v>
      </c>
      <c r="K167" s="259"/>
      <c r="L167" s="259"/>
      <c r="M167" s="259"/>
      <c r="N167" s="264"/>
      <c r="O167" s="184">
        <f>G167/I167*J167</f>
        <v>538.3</v>
      </c>
      <c r="P167" s="184">
        <f>E167*0.18/I167*J167</f>
        <v>0</v>
      </c>
      <c r="Q167" s="184">
        <f>H167/I167*J167</f>
        <v>0</v>
      </c>
      <c r="R167" s="297"/>
      <c r="S167" s="264"/>
      <c r="T167" s="259"/>
      <c r="U167" s="259"/>
      <c r="V167" s="259"/>
      <c r="W167" s="259"/>
      <c r="X167" s="259"/>
      <c r="Y167" s="259"/>
      <c r="Z167" s="259"/>
      <c r="AA167" s="259"/>
      <c r="AB167" s="259"/>
      <c r="AC167" s="259"/>
      <c r="AD167" s="259"/>
      <c r="AE167" s="259"/>
      <c r="AF167" s="259"/>
      <c r="AG167" s="259"/>
      <c r="AH167" s="259"/>
      <c r="AI167" s="259"/>
      <c r="AJ167" s="259"/>
      <c r="AK167" s="259"/>
      <c r="AL167" s="259"/>
      <c r="AM167" s="259"/>
      <c r="AN167" s="259"/>
      <c r="AO167" s="259"/>
      <c r="AP167" s="259"/>
      <c r="AQ167" s="259"/>
      <c r="AR167" s="259"/>
      <c r="AS167" s="259"/>
      <c r="AT167" s="259"/>
      <c r="AU167" s="259"/>
      <c r="AV167" s="259"/>
      <c r="AW167" s="259"/>
    </row>
    <row r="168" spans="1:49" ht="12">
      <c r="A168" s="284" t="s">
        <v>182</v>
      </c>
      <c r="B168" s="220"/>
      <c r="C168" s="285">
        <f aca="true" t="shared" si="124" ref="C168:D178">C167</f>
        <v>0</v>
      </c>
      <c r="D168" s="285">
        <f t="shared" si="124"/>
        <v>0</v>
      </c>
      <c r="E168" s="184">
        <f t="shared" si="122"/>
        <v>0</v>
      </c>
      <c r="F168" s="285">
        <f aca="true" t="shared" si="125" ref="F168:F178">F167</f>
        <v>538.3</v>
      </c>
      <c r="G168" s="184">
        <f t="shared" si="123"/>
        <v>538.3</v>
      </c>
      <c r="H168" s="285">
        <f aca="true" t="shared" si="126" ref="H168:H178">H167</f>
        <v>0</v>
      </c>
      <c r="I168" s="310">
        <f aca="true" t="shared" si="127" ref="I168:I178">I167</f>
        <v>18</v>
      </c>
      <c r="J168" s="310">
        <f aca="true" t="shared" si="128" ref="J168:J178">J167</f>
        <v>18</v>
      </c>
      <c r="K168" s="259"/>
      <c r="L168" s="259"/>
      <c r="M168" s="259"/>
      <c r="N168" s="20"/>
      <c r="O168" s="184">
        <f aca="true" t="shared" si="129" ref="O168:O178">G168/I168*J168</f>
        <v>538.3</v>
      </c>
      <c r="P168" s="184">
        <f aca="true" t="shared" si="130" ref="P168:P178">E168*0.18/I168*J168</f>
        <v>0</v>
      </c>
      <c r="Q168" s="184">
        <f aca="true" t="shared" si="131" ref="Q168:Q178">H168/I168*J168</f>
        <v>0</v>
      </c>
      <c r="R168" s="297"/>
      <c r="S168" s="20"/>
      <c r="T168" s="259"/>
      <c r="U168" s="259"/>
      <c r="V168" s="259"/>
      <c r="W168" s="259"/>
      <c r="X168" s="259"/>
      <c r="Y168" s="259"/>
      <c r="Z168" s="259"/>
      <c r="AA168" s="259"/>
      <c r="AB168" s="259"/>
      <c r="AC168" s="259"/>
      <c r="AD168" s="259"/>
      <c r="AE168" s="259"/>
      <c r="AF168" s="259"/>
      <c r="AG168" s="259"/>
      <c r="AH168" s="259"/>
      <c r="AI168" s="259"/>
      <c r="AJ168" s="259"/>
      <c r="AK168" s="259"/>
      <c r="AL168" s="259"/>
      <c r="AM168" s="259"/>
      <c r="AN168" s="259"/>
      <c r="AO168" s="259"/>
      <c r="AP168" s="259"/>
      <c r="AQ168" s="259"/>
      <c r="AR168" s="259"/>
      <c r="AS168" s="259"/>
      <c r="AT168" s="259"/>
      <c r="AU168" s="259"/>
      <c r="AV168" s="259"/>
      <c r="AW168" s="259"/>
    </row>
    <row r="169" spans="1:49" ht="15">
      <c r="A169" s="284" t="s">
        <v>183</v>
      </c>
      <c r="B169" s="220"/>
      <c r="C169" s="285">
        <f t="shared" si="124"/>
        <v>0</v>
      </c>
      <c r="D169" s="285">
        <f t="shared" si="124"/>
        <v>0</v>
      </c>
      <c r="E169" s="184">
        <f t="shared" si="122"/>
        <v>0</v>
      </c>
      <c r="F169" s="285">
        <f t="shared" si="125"/>
        <v>538.3</v>
      </c>
      <c r="G169" s="184">
        <f t="shared" si="123"/>
        <v>538.3</v>
      </c>
      <c r="H169" s="285">
        <f t="shared" si="126"/>
        <v>0</v>
      </c>
      <c r="I169" s="310">
        <f t="shared" si="127"/>
        <v>18</v>
      </c>
      <c r="J169" s="310">
        <f t="shared" si="128"/>
        <v>18</v>
      </c>
      <c r="K169" s="259"/>
      <c r="L169" s="259"/>
      <c r="M169" s="259"/>
      <c r="N169" s="264"/>
      <c r="O169" s="184">
        <f t="shared" si="129"/>
        <v>538.3</v>
      </c>
      <c r="P169" s="184">
        <f t="shared" si="130"/>
        <v>0</v>
      </c>
      <c r="Q169" s="184">
        <f t="shared" si="131"/>
        <v>0</v>
      </c>
      <c r="R169" s="297"/>
      <c r="S169" s="264"/>
      <c r="T169" s="259"/>
      <c r="U169" s="259"/>
      <c r="V169" s="259"/>
      <c r="W169" s="259"/>
      <c r="X169" s="259"/>
      <c r="Y169" s="259"/>
      <c r="Z169" s="259"/>
      <c r="AA169" s="259"/>
      <c r="AB169" s="259"/>
      <c r="AC169" s="259"/>
      <c r="AD169" s="259"/>
      <c r="AE169" s="259"/>
      <c r="AF169" s="259"/>
      <c r="AG169" s="259"/>
      <c r="AH169" s="259"/>
      <c r="AI169" s="259"/>
      <c r="AJ169" s="259"/>
      <c r="AK169" s="259"/>
      <c r="AL169" s="259"/>
      <c r="AM169" s="259"/>
      <c r="AN169" s="259"/>
      <c r="AO169" s="259"/>
      <c r="AP169" s="259"/>
      <c r="AQ169" s="259"/>
      <c r="AR169" s="259"/>
      <c r="AS169" s="259"/>
      <c r="AT169" s="259"/>
      <c r="AU169" s="259"/>
      <c r="AV169" s="259"/>
      <c r="AW169" s="259"/>
    </row>
    <row r="170" spans="1:49" ht="12">
      <c r="A170" s="284" t="s">
        <v>184</v>
      </c>
      <c r="B170" s="220"/>
      <c r="C170" s="285">
        <f t="shared" si="124"/>
        <v>0</v>
      </c>
      <c r="D170" s="285">
        <f t="shared" si="124"/>
        <v>0</v>
      </c>
      <c r="E170" s="184">
        <f t="shared" si="122"/>
        <v>0</v>
      </c>
      <c r="F170" s="285">
        <f t="shared" si="125"/>
        <v>538.3</v>
      </c>
      <c r="G170" s="184">
        <f t="shared" si="123"/>
        <v>538.3</v>
      </c>
      <c r="H170" s="285">
        <f t="shared" si="126"/>
        <v>0</v>
      </c>
      <c r="I170" s="310">
        <f t="shared" si="127"/>
        <v>18</v>
      </c>
      <c r="J170" s="310">
        <f t="shared" si="128"/>
        <v>18</v>
      </c>
      <c r="K170" s="259"/>
      <c r="L170" s="259"/>
      <c r="M170" s="259"/>
      <c r="N170" s="20"/>
      <c r="O170" s="184">
        <f t="shared" si="129"/>
        <v>538.3</v>
      </c>
      <c r="P170" s="184">
        <f t="shared" si="130"/>
        <v>0</v>
      </c>
      <c r="Q170" s="184">
        <f t="shared" si="131"/>
        <v>0</v>
      </c>
      <c r="R170" s="297"/>
      <c r="S170" s="20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259"/>
      <c r="AE170" s="259"/>
      <c r="AF170" s="259"/>
      <c r="AG170" s="259"/>
      <c r="AH170" s="259"/>
      <c r="AI170" s="259"/>
      <c r="AJ170" s="259"/>
      <c r="AK170" s="259"/>
      <c r="AL170" s="259"/>
      <c r="AM170" s="259"/>
      <c r="AN170" s="259"/>
      <c r="AO170" s="259"/>
      <c r="AP170" s="259"/>
      <c r="AQ170" s="259"/>
      <c r="AR170" s="259"/>
      <c r="AS170" s="259"/>
      <c r="AT170" s="259"/>
      <c r="AU170" s="259"/>
      <c r="AV170" s="259"/>
      <c r="AW170" s="259"/>
    </row>
    <row r="171" spans="1:49" ht="15">
      <c r="A171" s="284" t="s">
        <v>185</v>
      </c>
      <c r="B171" s="220"/>
      <c r="C171" s="285">
        <f t="shared" si="124"/>
        <v>0</v>
      </c>
      <c r="D171" s="285">
        <f t="shared" si="124"/>
        <v>0</v>
      </c>
      <c r="E171" s="184">
        <f t="shared" si="122"/>
        <v>0</v>
      </c>
      <c r="F171" s="285">
        <f t="shared" si="125"/>
        <v>538.3</v>
      </c>
      <c r="G171" s="184">
        <f t="shared" si="123"/>
        <v>538.3</v>
      </c>
      <c r="H171" s="285">
        <f t="shared" si="126"/>
        <v>0</v>
      </c>
      <c r="I171" s="310">
        <f t="shared" si="127"/>
        <v>18</v>
      </c>
      <c r="J171" s="310">
        <f t="shared" si="128"/>
        <v>18</v>
      </c>
      <c r="K171" s="259"/>
      <c r="L171" s="259"/>
      <c r="M171" s="259"/>
      <c r="N171" s="264"/>
      <c r="O171" s="184">
        <f t="shared" si="129"/>
        <v>538.3</v>
      </c>
      <c r="P171" s="184">
        <f t="shared" si="130"/>
        <v>0</v>
      </c>
      <c r="Q171" s="184">
        <f t="shared" si="131"/>
        <v>0</v>
      </c>
      <c r="R171" s="297"/>
      <c r="S171" s="264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  <c r="AF171" s="259"/>
      <c r="AG171" s="259"/>
      <c r="AH171" s="259"/>
      <c r="AI171" s="259"/>
      <c r="AJ171" s="259"/>
      <c r="AK171" s="259"/>
      <c r="AL171" s="259"/>
      <c r="AM171" s="259"/>
      <c r="AN171" s="259"/>
      <c r="AO171" s="259"/>
      <c r="AP171" s="259"/>
      <c r="AQ171" s="259"/>
      <c r="AR171" s="259"/>
      <c r="AS171" s="259"/>
      <c r="AT171" s="259"/>
      <c r="AU171" s="259"/>
      <c r="AV171" s="259"/>
      <c r="AW171" s="259"/>
    </row>
    <row r="172" spans="1:49" ht="12">
      <c r="A172" s="284" t="s">
        <v>186</v>
      </c>
      <c r="B172" s="220"/>
      <c r="C172" s="285">
        <f t="shared" si="124"/>
        <v>0</v>
      </c>
      <c r="D172" s="285">
        <f t="shared" si="124"/>
        <v>0</v>
      </c>
      <c r="E172" s="184">
        <f t="shared" si="122"/>
        <v>0</v>
      </c>
      <c r="F172" s="285">
        <f t="shared" si="125"/>
        <v>538.3</v>
      </c>
      <c r="G172" s="184">
        <f t="shared" si="123"/>
        <v>538.3</v>
      </c>
      <c r="H172" s="285">
        <f t="shared" si="126"/>
        <v>0</v>
      </c>
      <c r="I172" s="310">
        <f t="shared" si="127"/>
        <v>18</v>
      </c>
      <c r="J172" s="310">
        <f t="shared" si="128"/>
        <v>18</v>
      </c>
      <c r="K172" s="259"/>
      <c r="L172" s="259"/>
      <c r="M172" s="259"/>
      <c r="N172" s="20"/>
      <c r="O172" s="184">
        <f t="shared" si="129"/>
        <v>538.3</v>
      </c>
      <c r="P172" s="184">
        <f t="shared" si="130"/>
        <v>0</v>
      </c>
      <c r="Q172" s="184">
        <f t="shared" si="131"/>
        <v>0</v>
      </c>
      <c r="R172" s="297"/>
      <c r="S172" s="20"/>
      <c r="T172" s="259"/>
      <c r="U172" s="259"/>
      <c r="V172" s="259"/>
      <c r="W172" s="259"/>
      <c r="X172" s="259"/>
      <c r="Y172" s="259"/>
      <c r="Z172" s="259"/>
      <c r="AA172" s="259"/>
      <c r="AB172" s="259"/>
      <c r="AC172" s="259"/>
      <c r="AD172" s="259"/>
      <c r="AE172" s="259"/>
      <c r="AF172" s="259"/>
      <c r="AG172" s="259"/>
      <c r="AH172" s="259"/>
      <c r="AI172" s="259"/>
      <c r="AJ172" s="259"/>
      <c r="AK172" s="259"/>
      <c r="AL172" s="259"/>
      <c r="AM172" s="259"/>
      <c r="AN172" s="259"/>
      <c r="AO172" s="259"/>
      <c r="AP172" s="259"/>
      <c r="AQ172" s="259"/>
      <c r="AR172" s="259"/>
      <c r="AS172" s="259"/>
      <c r="AT172" s="259"/>
      <c r="AU172" s="259"/>
      <c r="AV172" s="259"/>
      <c r="AW172" s="259"/>
    </row>
    <row r="173" spans="1:49" ht="15">
      <c r="A173" s="284" t="s">
        <v>187</v>
      </c>
      <c r="B173" s="220"/>
      <c r="C173" s="285">
        <f t="shared" si="124"/>
        <v>0</v>
      </c>
      <c r="D173" s="285">
        <f t="shared" si="124"/>
        <v>0</v>
      </c>
      <c r="E173" s="184">
        <f t="shared" si="122"/>
        <v>0</v>
      </c>
      <c r="F173" s="285">
        <f t="shared" si="125"/>
        <v>538.3</v>
      </c>
      <c r="G173" s="184">
        <f t="shared" si="123"/>
        <v>538.3</v>
      </c>
      <c r="H173" s="285">
        <f t="shared" si="126"/>
        <v>0</v>
      </c>
      <c r="I173" s="310">
        <f t="shared" si="127"/>
        <v>18</v>
      </c>
      <c r="J173" s="310">
        <f t="shared" si="128"/>
        <v>18</v>
      </c>
      <c r="K173" s="259"/>
      <c r="L173" s="259"/>
      <c r="M173" s="259"/>
      <c r="N173" s="264"/>
      <c r="O173" s="184">
        <f t="shared" si="129"/>
        <v>538.3</v>
      </c>
      <c r="P173" s="184">
        <f t="shared" si="130"/>
        <v>0</v>
      </c>
      <c r="Q173" s="184">
        <f t="shared" si="131"/>
        <v>0</v>
      </c>
      <c r="R173" s="297"/>
      <c r="S173" s="264"/>
      <c r="T173" s="259"/>
      <c r="U173" s="259"/>
      <c r="V173" s="259"/>
      <c r="W173" s="259"/>
      <c r="X173" s="259"/>
      <c r="Y173" s="259"/>
      <c r="Z173" s="259"/>
      <c r="AA173" s="259"/>
      <c r="AB173" s="259"/>
      <c r="AC173" s="259"/>
      <c r="AD173" s="259"/>
      <c r="AE173" s="259"/>
      <c r="AF173" s="259"/>
      <c r="AG173" s="259"/>
      <c r="AH173" s="259"/>
      <c r="AI173" s="259"/>
      <c r="AJ173" s="259"/>
      <c r="AK173" s="259"/>
      <c r="AL173" s="259"/>
      <c r="AM173" s="259"/>
      <c r="AN173" s="259"/>
      <c r="AO173" s="259"/>
      <c r="AP173" s="259"/>
      <c r="AQ173" s="259"/>
      <c r="AR173" s="259"/>
      <c r="AS173" s="259"/>
      <c r="AT173" s="259"/>
      <c r="AU173" s="259"/>
      <c r="AV173" s="259"/>
      <c r="AW173" s="259"/>
    </row>
    <row r="174" spans="1:49" ht="12">
      <c r="A174" s="284" t="s">
        <v>188</v>
      </c>
      <c r="B174" s="220"/>
      <c r="C174" s="285">
        <f t="shared" si="124"/>
        <v>0</v>
      </c>
      <c r="D174" s="285">
        <f t="shared" si="124"/>
        <v>0</v>
      </c>
      <c r="E174" s="184">
        <f t="shared" si="122"/>
        <v>0</v>
      </c>
      <c r="F174" s="285">
        <f t="shared" si="125"/>
        <v>538.3</v>
      </c>
      <c r="G174" s="184">
        <f t="shared" si="123"/>
        <v>538.3</v>
      </c>
      <c r="H174" s="285">
        <f t="shared" si="126"/>
        <v>0</v>
      </c>
      <c r="I174" s="310">
        <f t="shared" si="127"/>
        <v>18</v>
      </c>
      <c r="J174" s="310">
        <f t="shared" si="128"/>
        <v>18</v>
      </c>
      <c r="K174" s="259"/>
      <c r="L174" s="259"/>
      <c r="M174" s="259"/>
      <c r="N174" s="20"/>
      <c r="O174" s="184">
        <f t="shared" si="129"/>
        <v>538.3</v>
      </c>
      <c r="P174" s="184">
        <f t="shared" si="130"/>
        <v>0</v>
      </c>
      <c r="Q174" s="184">
        <f t="shared" si="131"/>
        <v>0</v>
      </c>
      <c r="R174" s="297"/>
      <c r="S174" s="20"/>
      <c r="T174" s="259"/>
      <c r="U174" s="259"/>
      <c r="V174" s="259"/>
      <c r="W174" s="259"/>
      <c r="X174" s="259"/>
      <c r="Y174" s="259"/>
      <c r="Z174" s="259"/>
      <c r="AA174" s="259"/>
      <c r="AB174" s="259"/>
      <c r="AC174" s="259"/>
      <c r="AD174" s="259"/>
      <c r="AE174" s="259"/>
      <c r="AF174" s="259"/>
      <c r="AG174" s="259"/>
      <c r="AH174" s="259"/>
      <c r="AI174" s="259"/>
      <c r="AJ174" s="259"/>
      <c r="AK174" s="259"/>
      <c r="AL174" s="259"/>
      <c r="AM174" s="259"/>
      <c r="AN174" s="259"/>
      <c r="AO174" s="259"/>
      <c r="AP174" s="259"/>
      <c r="AQ174" s="259"/>
      <c r="AR174" s="259"/>
      <c r="AS174" s="259"/>
      <c r="AT174" s="259"/>
      <c r="AU174" s="259"/>
      <c r="AV174" s="259"/>
      <c r="AW174" s="259"/>
    </row>
    <row r="175" spans="1:49" ht="15">
      <c r="A175" s="284" t="s">
        <v>189</v>
      </c>
      <c r="B175" s="220"/>
      <c r="C175" s="285">
        <f t="shared" si="124"/>
        <v>0</v>
      </c>
      <c r="D175" s="285">
        <f t="shared" si="124"/>
        <v>0</v>
      </c>
      <c r="E175" s="184">
        <f t="shared" si="122"/>
        <v>0</v>
      </c>
      <c r="F175" s="285">
        <f t="shared" si="125"/>
        <v>538.3</v>
      </c>
      <c r="G175" s="184">
        <f t="shared" si="123"/>
        <v>538.3</v>
      </c>
      <c r="H175" s="285">
        <f t="shared" si="126"/>
        <v>0</v>
      </c>
      <c r="I175" s="310">
        <f t="shared" si="127"/>
        <v>18</v>
      </c>
      <c r="J175" s="310">
        <f t="shared" si="128"/>
        <v>18</v>
      </c>
      <c r="K175" s="259"/>
      <c r="L175" s="259"/>
      <c r="M175" s="259"/>
      <c r="N175" s="264"/>
      <c r="O175" s="184">
        <f t="shared" si="129"/>
        <v>538.3</v>
      </c>
      <c r="P175" s="184">
        <f t="shared" si="130"/>
        <v>0</v>
      </c>
      <c r="Q175" s="184">
        <f t="shared" si="131"/>
        <v>0</v>
      </c>
      <c r="R175" s="297"/>
      <c r="S175" s="264"/>
      <c r="T175" s="259"/>
      <c r="U175" s="259"/>
      <c r="V175" s="259"/>
      <c r="W175" s="259"/>
      <c r="X175" s="259"/>
      <c r="Y175" s="259"/>
      <c r="Z175" s="259"/>
      <c r="AA175" s="259"/>
      <c r="AB175" s="259"/>
      <c r="AC175" s="259"/>
      <c r="AD175" s="259"/>
      <c r="AE175" s="259"/>
      <c r="AF175" s="259"/>
      <c r="AG175" s="259"/>
      <c r="AH175" s="259"/>
      <c r="AI175" s="259"/>
      <c r="AJ175" s="259"/>
      <c r="AK175" s="259"/>
      <c r="AL175" s="259"/>
      <c r="AM175" s="259"/>
      <c r="AN175" s="259"/>
      <c r="AO175" s="259"/>
      <c r="AP175" s="259"/>
      <c r="AQ175" s="259"/>
      <c r="AR175" s="259"/>
      <c r="AS175" s="259"/>
      <c r="AT175" s="259"/>
      <c r="AU175" s="259"/>
      <c r="AV175" s="259"/>
      <c r="AW175" s="259"/>
    </row>
    <row r="176" spans="1:49" ht="12">
      <c r="A176" s="284" t="s">
        <v>190</v>
      </c>
      <c r="B176" s="220"/>
      <c r="C176" s="285">
        <f t="shared" si="124"/>
        <v>0</v>
      </c>
      <c r="D176" s="285">
        <f t="shared" si="124"/>
        <v>0</v>
      </c>
      <c r="E176" s="184">
        <f t="shared" si="122"/>
        <v>0</v>
      </c>
      <c r="F176" s="285">
        <f t="shared" si="125"/>
        <v>538.3</v>
      </c>
      <c r="G176" s="184">
        <f t="shared" si="123"/>
        <v>538.3</v>
      </c>
      <c r="H176" s="285">
        <f t="shared" si="126"/>
        <v>0</v>
      </c>
      <c r="I176" s="310">
        <f t="shared" si="127"/>
        <v>18</v>
      </c>
      <c r="J176" s="310">
        <f t="shared" si="128"/>
        <v>18</v>
      </c>
      <c r="K176" s="259"/>
      <c r="L176" s="259"/>
      <c r="M176" s="259"/>
      <c r="N176" s="20"/>
      <c r="O176" s="184">
        <f t="shared" si="129"/>
        <v>538.3</v>
      </c>
      <c r="P176" s="184">
        <f t="shared" si="130"/>
        <v>0</v>
      </c>
      <c r="Q176" s="184">
        <f t="shared" si="131"/>
        <v>0</v>
      </c>
      <c r="R176" s="297"/>
      <c r="S176" s="20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59"/>
    </row>
    <row r="177" spans="1:49" ht="15">
      <c r="A177" s="284" t="s">
        <v>191</v>
      </c>
      <c r="B177" s="220"/>
      <c r="C177" s="285">
        <f t="shared" si="124"/>
        <v>0</v>
      </c>
      <c r="D177" s="285">
        <f t="shared" si="124"/>
        <v>0</v>
      </c>
      <c r="E177" s="184">
        <f t="shared" si="122"/>
        <v>0</v>
      </c>
      <c r="F177" s="285">
        <f t="shared" si="125"/>
        <v>538.3</v>
      </c>
      <c r="G177" s="184">
        <f t="shared" si="123"/>
        <v>538.3</v>
      </c>
      <c r="H177" s="285">
        <f t="shared" si="126"/>
        <v>0</v>
      </c>
      <c r="I177" s="310">
        <f t="shared" si="127"/>
        <v>18</v>
      </c>
      <c r="J177" s="310">
        <f t="shared" si="128"/>
        <v>18</v>
      </c>
      <c r="K177" s="259"/>
      <c r="L177" s="259"/>
      <c r="M177" s="259"/>
      <c r="N177" s="264"/>
      <c r="O177" s="184">
        <f t="shared" si="129"/>
        <v>538.3</v>
      </c>
      <c r="P177" s="184">
        <f t="shared" si="130"/>
        <v>0</v>
      </c>
      <c r="Q177" s="184">
        <f t="shared" si="131"/>
        <v>0</v>
      </c>
      <c r="R177" s="297"/>
      <c r="S177" s="264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59"/>
      <c r="AD177" s="259"/>
      <c r="AE177" s="259"/>
      <c r="AF177" s="259"/>
      <c r="AG177" s="259"/>
      <c r="AH177" s="259"/>
      <c r="AI177" s="259"/>
      <c r="AJ177" s="259"/>
      <c r="AK177" s="259"/>
      <c r="AL177" s="259"/>
      <c r="AM177" s="259"/>
      <c r="AN177" s="259"/>
      <c r="AO177" s="259"/>
      <c r="AP177" s="259"/>
      <c r="AQ177" s="259"/>
      <c r="AR177" s="259"/>
      <c r="AS177" s="259"/>
      <c r="AT177" s="259"/>
      <c r="AU177" s="259"/>
      <c r="AV177" s="259"/>
      <c r="AW177" s="259"/>
    </row>
    <row r="178" spans="1:49" ht="12">
      <c r="A178" s="284" t="s">
        <v>192</v>
      </c>
      <c r="B178" s="220"/>
      <c r="C178" s="285">
        <f t="shared" si="124"/>
        <v>0</v>
      </c>
      <c r="D178" s="285">
        <f t="shared" si="124"/>
        <v>0</v>
      </c>
      <c r="E178" s="184">
        <f t="shared" si="122"/>
        <v>0</v>
      </c>
      <c r="F178" s="285">
        <f t="shared" si="125"/>
        <v>538.3</v>
      </c>
      <c r="G178" s="184">
        <f t="shared" si="123"/>
        <v>538.3</v>
      </c>
      <c r="H178" s="285">
        <f t="shared" si="126"/>
        <v>0</v>
      </c>
      <c r="I178" s="310">
        <f t="shared" si="127"/>
        <v>18</v>
      </c>
      <c r="J178" s="310">
        <f t="shared" si="128"/>
        <v>18</v>
      </c>
      <c r="K178" s="259"/>
      <c r="L178" s="259"/>
      <c r="M178" s="259"/>
      <c r="N178" s="20"/>
      <c r="O178" s="184">
        <f t="shared" si="129"/>
        <v>538.3</v>
      </c>
      <c r="P178" s="184">
        <f t="shared" si="130"/>
        <v>0</v>
      </c>
      <c r="Q178" s="184">
        <f t="shared" si="131"/>
        <v>0</v>
      </c>
      <c r="R178" s="297"/>
      <c r="S178" s="20"/>
      <c r="T178" s="259"/>
      <c r="U178" s="259"/>
      <c r="V178" s="259"/>
      <c r="W178" s="259"/>
      <c r="X178" s="259"/>
      <c r="Y178" s="259"/>
      <c r="Z178" s="259"/>
      <c r="AA178" s="259"/>
      <c r="AB178" s="259"/>
      <c r="AC178" s="259"/>
      <c r="AD178" s="259"/>
      <c r="AE178" s="259"/>
      <c r="AF178" s="259"/>
      <c r="AG178" s="259"/>
      <c r="AH178" s="259"/>
      <c r="AI178" s="259"/>
      <c r="AJ178" s="259"/>
      <c r="AK178" s="259"/>
      <c r="AL178" s="259"/>
      <c r="AM178" s="259"/>
      <c r="AN178" s="259"/>
      <c r="AO178" s="259"/>
      <c r="AP178" s="259"/>
      <c r="AQ178" s="259"/>
      <c r="AR178" s="259"/>
      <c r="AS178" s="259"/>
      <c r="AT178" s="259"/>
      <c r="AU178" s="259"/>
      <c r="AV178" s="259"/>
      <c r="AW178" s="259"/>
    </row>
    <row r="179" spans="1:49" ht="15">
      <c r="A179" s="282">
        <f>A166+1</f>
        <v>2006</v>
      </c>
      <c r="B179" s="28"/>
      <c r="C179" s="28"/>
      <c r="D179" s="28"/>
      <c r="E179" s="306">
        <f>SUM(E180:E191)</f>
        <v>0</v>
      </c>
      <c r="F179" s="287"/>
      <c r="G179" s="283">
        <f>SUM(G180:G191)</f>
        <v>6459.600000000001</v>
      </c>
      <c r="H179" s="309">
        <f>SUM(H180:H191)</f>
        <v>0</v>
      </c>
      <c r="I179" s="311">
        <f>SUM(I180:I191)</f>
        <v>216</v>
      </c>
      <c r="J179" s="311">
        <f>SUM(J180:J191)</f>
        <v>216</v>
      </c>
      <c r="K179" s="259"/>
      <c r="L179" s="259"/>
      <c r="M179" s="259"/>
      <c r="N179" s="264"/>
      <c r="O179" s="136">
        <f>SUM(O180:O191)</f>
        <v>6459.600000000001</v>
      </c>
      <c r="P179" s="136">
        <f>SUM(P180:P191)</f>
        <v>0</v>
      </c>
      <c r="Q179" s="136">
        <f>SUM(Q180:Q191)</f>
        <v>0</v>
      </c>
      <c r="R179" s="136">
        <f>J179/I179</f>
        <v>1</v>
      </c>
      <c r="S179" s="264"/>
      <c r="T179" s="259"/>
      <c r="U179" s="259"/>
      <c r="V179" s="259"/>
      <c r="W179" s="259"/>
      <c r="X179" s="259"/>
      <c r="Y179" s="259"/>
      <c r="Z179" s="259"/>
      <c r="AA179" s="259"/>
      <c r="AB179" s="259"/>
      <c r="AC179" s="259"/>
      <c r="AD179" s="259"/>
      <c r="AE179" s="259"/>
      <c r="AF179" s="259"/>
      <c r="AG179" s="259"/>
      <c r="AH179" s="259"/>
      <c r="AI179" s="259"/>
      <c r="AJ179" s="259"/>
      <c r="AK179" s="259"/>
      <c r="AL179" s="259"/>
      <c r="AM179" s="259"/>
      <c r="AN179" s="259"/>
      <c r="AO179" s="259"/>
      <c r="AP179" s="259"/>
      <c r="AQ179" s="259"/>
      <c r="AR179" s="259"/>
      <c r="AS179" s="259"/>
      <c r="AT179" s="259"/>
      <c r="AU179" s="259"/>
      <c r="AV179" s="259"/>
      <c r="AW179" s="259"/>
    </row>
    <row r="180" spans="1:49" ht="12">
      <c r="A180" s="284" t="s">
        <v>181</v>
      </c>
      <c r="B180" s="220"/>
      <c r="C180" s="285">
        <f>C178</f>
        <v>0</v>
      </c>
      <c r="D180" s="285">
        <f>D178</f>
        <v>0</v>
      </c>
      <c r="E180" s="184">
        <f aca="true" t="shared" si="132" ref="E180:E191">C180+D180</f>
        <v>0</v>
      </c>
      <c r="F180" s="285">
        <f>F178</f>
        <v>538.3</v>
      </c>
      <c r="G180" s="184">
        <f aca="true" t="shared" si="133" ref="G180:G191">SUM(E180:F180)</f>
        <v>538.3</v>
      </c>
      <c r="H180" s="285">
        <f>H178</f>
        <v>0</v>
      </c>
      <c r="I180" s="310">
        <f>I178</f>
        <v>18</v>
      </c>
      <c r="J180" s="310">
        <f>J178</f>
        <v>18</v>
      </c>
      <c r="K180" s="259"/>
      <c r="L180" s="259"/>
      <c r="M180" s="259"/>
      <c r="N180" s="20"/>
      <c r="O180" s="184">
        <f>G180/I180*J180</f>
        <v>538.3</v>
      </c>
      <c r="P180" s="184">
        <f>E180*0.18/I180*J180</f>
        <v>0</v>
      </c>
      <c r="Q180" s="184">
        <f>H180/I180*J180</f>
        <v>0</v>
      </c>
      <c r="R180" s="297"/>
      <c r="S180" s="20"/>
      <c r="T180" s="259"/>
      <c r="U180" s="259"/>
      <c r="V180" s="259"/>
      <c r="W180" s="259"/>
      <c r="X180" s="259"/>
      <c r="Y180" s="259"/>
      <c r="Z180" s="259"/>
      <c r="AA180" s="259"/>
      <c r="AB180" s="259"/>
      <c r="AC180" s="259"/>
      <c r="AD180" s="259"/>
      <c r="AE180" s="259"/>
      <c r="AF180" s="259"/>
      <c r="AG180" s="259"/>
      <c r="AH180" s="259"/>
      <c r="AI180" s="259"/>
      <c r="AJ180" s="259"/>
      <c r="AK180" s="259"/>
      <c r="AL180" s="259"/>
      <c r="AM180" s="259"/>
      <c r="AN180" s="259"/>
      <c r="AO180" s="259"/>
      <c r="AP180" s="259"/>
      <c r="AQ180" s="259"/>
      <c r="AR180" s="259"/>
      <c r="AS180" s="259"/>
      <c r="AT180" s="259"/>
      <c r="AU180" s="259"/>
      <c r="AV180" s="259"/>
      <c r="AW180" s="259"/>
    </row>
    <row r="181" spans="1:49" ht="15">
      <c r="A181" s="284" t="s">
        <v>182</v>
      </c>
      <c r="B181" s="220"/>
      <c r="C181" s="285">
        <f aca="true" t="shared" si="134" ref="C181:D191">C180</f>
        <v>0</v>
      </c>
      <c r="D181" s="285">
        <f t="shared" si="134"/>
        <v>0</v>
      </c>
      <c r="E181" s="184">
        <f t="shared" si="132"/>
        <v>0</v>
      </c>
      <c r="F181" s="285">
        <f aca="true" t="shared" si="135" ref="F181:F191">F180</f>
        <v>538.3</v>
      </c>
      <c r="G181" s="184">
        <f t="shared" si="133"/>
        <v>538.3</v>
      </c>
      <c r="H181" s="285">
        <f aca="true" t="shared" si="136" ref="H181:H191">H180</f>
        <v>0</v>
      </c>
      <c r="I181" s="310">
        <f aca="true" t="shared" si="137" ref="I181:I191">I180</f>
        <v>18</v>
      </c>
      <c r="J181" s="310">
        <f aca="true" t="shared" si="138" ref="J181:J191">J180</f>
        <v>18</v>
      </c>
      <c r="K181" s="259"/>
      <c r="L181" s="259"/>
      <c r="M181" s="259"/>
      <c r="N181" s="264"/>
      <c r="O181" s="184">
        <f aca="true" t="shared" si="139" ref="O181:O191">G181/I181*J181</f>
        <v>538.3</v>
      </c>
      <c r="P181" s="184">
        <f aca="true" t="shared" si="140" ref="P181:P191">E181*0.18/I181*J181</f>
        <v>0</v>
      </c>
      <c r="Q181" s="184">
        <f aca="true" t="shared" si="141" ref="Q181:Q191">H181/I181*J181</f>
        <v>0</v>
      </c>
      <c r="R181" s="297"/>
      <c r="S181" s="264"/>
      <c r="T181" s="259"/>
      <c r="U181" s="259"/>
      <c r="V181" s="259"/>
      <c r="W181" s="259"/>
      <c r="X181" s="259"/>
      <c r="Y181" s="259"/>
      <c r="Z181" s="259"/>
      <c r="AA181" s="259"/>
      <c r="AB181" s="259"/>
      <c r="AC181" s="259"/>
      <c r="AD181" s="259"/>
      <c r="AE181" s="259"/>
      <c r="AF181" s="259"/>
      <c r="AG181" s="259"/>
      <c r="AH181" s="259"/>
      <c r="AI181" s="259"/>
      <c r="AJ181" s="259"/>
      <c r="AK181" s="259"/>
      <c r="AL181" s="259"/>
      <c r="AM181" s="259"/>
      <c r="AN181" s="259"/>
      <c r="AO181" s="259"/>
      <c r="AP181" s="259"/>
      <c r="AQ181" s="259"/>
      <c r="AR181" s="259"/>
      <c r="AS181" s="259"/>
      <c r="AT181" s="259"/>
      <c r="AU181" s="259"/>
      <c r="AV181" s="259"/>
      <c r="AW181" s="259"/>
    </row>
    <row r="182" spans="1:49" ht="12">
      <c r="A182" s="284" t="s">
        <v>183</v>
      </c>
      <c r="B182" s="220"/>
      <c r="C182" s="285">
        <f t="shared" si="134"/>
        <v>0</v>
      </c>
      <c r="D182" s="285">
        <f t="shared" si="134"/>
        <v>0</v>
      </c>
      <c r="E182" s="184">
        <f t="shared" si="132"/>
        <v>0</v>
      </c>
      <c r="F182" s="285">
        <f t="shared" si="135"/>
        <v>538.3</v>
      </c>
      <c r="G182" s="184">
        <f t="shared" si="133"/>
        <v>538.3</v>
      </c>
      <c r="H182" s="285">
        <f t="shared" si="136"/>
        <v>0</v>
      </c>
      <c r="I182" s="310">
        <f t="shared" si="137"/>
        <v>18</v>
      </c>
      <c r="J182" s="310">
        <f t="shared" si="138"/>
        <v>18</v>
      </c>
      <c r="K182" s="259"/>
      <c r="L182" s="259"/>
      <c r="M182" s="259"/>
      <c r="N182" s="20"/>
      <c r="O182" s="184">
        <f t="shared" si="139"/>
        <v>538.3</v>
      </c>
      <c r="P182" s="184">
        <f t="shared" si="140"/>
        <v>0</v>
      </c>
      <c r="Q182" s="184">
        <f t="shared" si="141"/>
        <v>0</v>
      </c>
      <c r="R182" s="297"/>
      <c r="S182" s="20"/>
      <c r="T182" s="259"/>
      <c r="U182" s="259"/>
      <c r="V182" s="259"/>
      <c r="W182" s="259"/>
      <c r="X182" s="259"/>
      <c r="Y182" s="259"/>
      <c r="Z182" s="259"/>
      <c r="AA182" s="259"/>
      <c r="AB182" s="259"/>
      <c r="AC182" s="259"/>
      <c r="AD182" s="259"/>
      <c r="AE182" s="259"/>
      <c r="AF182" s="259"/>
      <c r="AG182" s="259"/>
      <c r="AH182" s="259"/>
      <c r="AI182" s="259"/>
      <c r="AJ182" s="259"/>
      <c r="AK182" s="259"/>
      <c r="AL182" s="259"/>
      <c r="AM182" s="259"/>
      <c r="AN182" s="259"/>
      <c r="AO182" s="259"/>
      <c r="AP182" s="259"/>
      <c r="AQ182" s="259"/>
      <c r="AR182" s="259"/>
      <c r="AS182" s="259"/>
      <c r="AT182" s="259"/>
      <c r="AU182" s="259"/>
      <c r="AV182" s="259"/>
      <c r="AW182" s="259"/>
    </row>
    <row r="183" spans="1:49" ht="15">
      <c r="A183" s="284" t="s">
        <v>184</v>
      </c>
      <c r="B183" s="220"/>
      <c r="C183" s="285">
        <f t="shared" si="134"/>
        <v>0</v>
      </c>
      <c r="D183" s="285">
        <f t="shared" si="134"/>
        <v>0</v>
      </c>
      <c r="E183" s="184">
        <f t="shared" si="132"/>
        <v>0</v>
      </c>
      <c r="F183" s="285">
        <f t="shared" si="135"/>
        <v>538.3</v>
      </c>
      <c r="G183" s="184">
        <f t="shared" si="133"/>
        <v>538.3</v>
      </c>
      <c r="H183" s="285">
        <f t="shared" si="136"/>
        <v>0</v>
      </c>
      <c r="I183" s="310">
        <f t="shared" si="137"/>
        <v>18</v>
      </c>
      <c r="J183" s="310">
        <f t="shared" si="138"/>
        <v>18</v>
      </c>
      <c r="K183" s="259"/>
      <c r="L183" s="259"/>
      <c r="M183" s="259"/>
      <c r="N183" s="264"/>
      <c r="O183" s="184">
        <f t="shared" si="139"/>
        <v>538.3</v>
      </c>
      <c r="P183" s="184">
        <f t="shared" si="140"/>
        <v>0</v>
      </c>
      <c r="Q183" s="184">
        <f t="shared" si="141"/>
        <v>0</v>
      </c>
      <c r="R183" s="297"/>
      <c r="S183" s="264"/>
      <c r="T183" s="259"/>
      <c r="U183" s="259"/>
      <c r="V183" s="259"/>
      <c r="W183" s="259"/>
      <c r="X183" s="259"/>
      <c r="Y183" s="259"/>
      <c r="Z183" s="259"/>
      <c r="AA183" s="259"/>
      <c r="AB183" s="259"/>
      <c r="AC183" s="259"/>
      <c r="AD183" s="259"/>
      <c r="AE183" s="259"/>
      <c r="AF183" s="259"/>
      <c r="AG183" s="259"/>
      <c r="AH183" s="259"/>
      <c r="AI183" s="259"/>
      <c r="AJ183" s="259"/>
      <c r="AK183" s="259"/>
      <c r="AL183" s="259"/>
      <c r="AM183" s="259"/>
      <c r="AN183" s="259"/>
      <c r="AO183" s="259"/>
      <c r="AP183" s="259"/>
      <c r="AQ183" s="259"/>
      <c r="AR183" s="259"/>
      <c r="AS183" s="259"/>
      <c r="AT183" s="259"/>
      <c r="AU183" s="259"/>
      <c r="AV183" s="259"/>
      <c r="AW183" s="259"/>
    </row>
    <row r="184" spans="1:49" ht="12">
      <c r="A184" s="284" t="s">
        <v>185</v>
      </c>
      <c r="B184" s="220"/>
      <c r="C184" s="285">
        <f t="shared" si="134"/>
        <v>0</v>
      </c>
      <c r="D184" s="285">
        <f t="shared" si="134"/>
        <v>0</v>
      </c>
      <c r="E184" s="184">
        <f t="shared" si="132"/>
        <v>0</v>
      </c>
      <c r="F184" s="285">
        <f t="shared" si="135"/>
        <v>538.3</v>
      </c>
      <c r="G184" s="184">
        <f t="shared" si="133"/>
        <v>538.3</v>
      </c>
      <c r="H184" s="285">
        <f t="shared" si="136"/>
        <v>0</v>
      </c>
      <c r="I184" s="310">
        <f t="shared" si="137"/>
        <v>18</v>
      </c>
      <c r="J184" s="310">
        <f t="shared" si="138"/>
        <v>18</v>
      </c>
      <c r="K184" s="259"/>
      <c r="L184" s="259"/>
      <c r="M184" s="259"/>
      <c r="N184" s="20"/>
      <c r="O184" s="184">
        <f t="shared" si="139"/>
        <v>538.3</v>
      </c>
      <c r="P184" s="184">
        <f t="shared" si="140"/>
        <v>0</v>
      </c>
      <c r="Q184" s="184">
        <f t="shared" si="141"/>
        <v>0</v>
      </c>
      <c r="R184" s="297"/>
      <c r="S184" s="20"/>
      <c r="T184" s="259"/>
      <c r="U184" s="259"/>
      <c r="V184" s="259"/>
      <c r="W184" s="259"/>
      <c r="X184" s="259"/>
      <c r="Y184" s="259"/>
      <c r="Z184" s="259"/>
      <c r="AA184" s="259"/>
      <c r="AB184" s="259"/>
      <c r="AC184" s="259"/>
      <c r="AD184" s="259"/>
      <c r="AE184" s="259"/>
      <c r="AF184" s="259"/>
      <c r="AG184" s="259"/>
      <c r="AH184" s="259"/>
      <c r="AI184" s="259"/>
      <c r="AJ184" s="259"/>
      <c r="AK184" s="259"/>
      <c r="AL184" s="259"/>
      <c r="AM184" s="259"/>
      <c r="AN184" s="259"/>
      <c r="AO184" s="259"/>
      <c r="AP184" s="259"/>
      <c r="AQ184" s="259"/>
      <c r="AR184" s="259"/>
      <c r="AS184" s="259"/>
      <c r="AT184" s="259"/>
      <c r="AU184" s="259"/>
      <c r="AV184" s="259"/>
      <c r="AW184" s="259"/>
    </row>
    <row r="185" spans="1:49" ht="15">
      <c r="A185" s="284" t="s">
        <v>186</v>
      </c>
      <c r="B185" s="220"/>
      <c r="C185" s="285">
        <f t="shared" si="134"/>
        <v>0</v>
      </c>
      <c r="D185" s="285">
        <f t="shared" si="134"/>
        <v>0</v>
      </c>
      <c r="E185" s="184">
        <f t="shared" si="132"/>
        <v>0</v>
      </c>
      <c r="F185" s="285">
        <f t="shared" si="135"/>
        <v>538.3</v>
      </c>
      <c r="G185" s="184">
        <f t="shared" si="133"/>
        <v>538.3</v>
      </c>
      <c r="H185" s="285">
        <f t="shared" si="136"/>
        <v>0</v>
      </c>
      <c r="I185" s="310">
        <f t="shared" si="137"/>
        <v>18</v>
      </c>
      <c r="J185" s="310">
        <f t="shared" si="138"/>
        <v>18</v>
      </c>
      <c r="K185" s="259"/>
      <c r="L185" s="259"/>
      <c r="M185" s="259"/>
      <c r="N185" s="264"/>
      <c r="O185" s="184">
        <f t="shared" si="139"/>
        <v>538.3</v>
      </c>
      <c r="P185" s="184">
        <f t="shared" si="140"/>
        <v>0</v>
      </c>
      <c r="Q185" s="184">
        <f t="shared" si="141"/>
        <v>0</v>
      </c>
      <c r="R185" s="297"/>
      <c r="S185" s="264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259"/>
      <c r="AH185" s="259"/>
      <c r="AI185" s="259"/>
      <c r="AJ185" s="259"/>
      <c r="AK185" s="259"/>
      <c r="AL185" s="259"/>
      <c r="AM185" s="259"/>
      <c r="AN185" s="259"/>
      <c r="AO185" s="259"/>
      <c r="AP185" s="259"/>
      <c r="AQ185" s="259"/>
      <c r="AR185" s="259"/>
      <c r="AS185" s="259"/>
      <c r="AT185" s="259"/>
      <c r="AU185" s="259"/>
      <c r="AV185" s="259"/>
      <c r="AW185" s="259"/>
    </row>
    <row r="186" spans="1:49" ht="12">
      <c r="A186" s="284" t="s">
        <v>187</v>
      </c>
      <c r="B186" s="220"/>
      <c r="C186" s="285">
        <f t="shared" si="134"/>
        <v>0</v>
      </c>
      <c r="D186" s="285">
        <f t="shared" si="134"/>
        <v>0</v>
      </c>
      <c r="E186" s="184">
        <f t="shared" si="132"/>
        <v>0</v>
      </c>
      <c r="F186" s="285">
        <f t="shared" si="135"/>
        <v>538.3</v>
      </c>
      <c r="G186" s="184">
        <f t="shared" si="133"/>
        <v>538.3</v>
      </c>
      <c r="H186" s="285">
        <f t="shared" si="136"/>
        <v>0</v>
      </c>
      <c r="I186" s="310">
        <f t="shared" si="137"/>
        <v>18</v>
      </c>
      <c r="J186" s="310">
        <f t="shared" si="138"/>
        <v>18</v>
      </c>
      <c r="K186" s="259"/>
      <c r="L186" s="259"/>
      <c r="M186" s="259"/>
      <c r="N186" s="20"/>
      <c r="O186" s="184">
        <f t="shared" si="139"/>
        <v>538.3</v>
      </c>
      <c r="P186" s="184">
        <f t="shared" si="140"/>
        <v>0</v>
      </c>
      <c r="Q186" s="184">
        <f t="shared" si="141"/>
        <v>0</v>
      </c>
      <c r="R186" s="297"/>
      <c r="S186" s="20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259"/>
      <c r="AH186" s="259"/>
      <c r="AI186" s="259"/>
      <c r="AJ186" s="259"/>
      <c r="AK186" s="259"/>
      <c r="AL186" s="259"/>
      <c r="AM186" s="259"/>
      <c r="AN186" s="259"/>
      <c r="AO186" s="259"/>
      <c r="AP186" s="259"/>
      <c r="AQ186" s="259"/>
      <c r="AR186" s="259"/>
      <c r="AS186" s="259"/>
      <c r="AT186" s="259"/>
      <c r="AU186" s="259"/>
      <c r="AV186" s="259"/>
      <c r="AW186" s="259"/>
    </row>
    <row r="187" spans="1:49" ht="15">
      <c r="A187" s="284" t="s">
        <v>188</v>
      </c>
      <c r="B187" s="220"/>
      <c r="C187" s="285">
        <f t="shared" si="134"/>
        <v>0</v>
      </c>
      <c r="D187" s="285">
        <f t="shared" si="134"/>
        <v>0</v>
      </c>
      <c r="E187" s="184">
        <f t="shared" si="132"/>
        <v>0</v>
      </c>
      <c r="F187" s="285">
        <f t="shared" si="135"/>
        <v>538.3</v>
      </c>
      <c r="G187" s="184">
        <f t="shared" si="133"/>
        <v>538.3</v>
      </c>
      <c r="H187" s="285">
        <f t="shared" si="136"/>
        <v>0</v>
      </c>
      <c r="I187" s="310">
        <f t="shared" si="137"/>
        <v>18</v>
      </c>
      <c r="J187" s="310">
        <f t="shared" si="138"/>
        <v>18</v>
      </c>
      <c r="K187" s="259"/>
      <c r="L187" s="259"/>
      <c r="M187" s="259"/>
      <c r="N187" s="264"/>
      <c r="O187" s="184">
        <f t="shared" si="139"/>
        <v>538.3</v>
      </c>
      <c r="P187" s="184">
        <f t="shared" si="140"/>
        <v>0</v>
      </c>
      <c r="Q187" s="184">
        <f t="shared" si="141"/>
        <v>0</v>
      </c>
      <c r="R187" s="297"/>
      <c r="S187" s="264"/>
      <c r="T187" s="259"/>
      <c r="U187" s="259"/>
      <c r="V187" s="259"/>
      <c r="W187" s="259"/>
      <c r="X187" s="259"/>
      <c r="Y187" s="259"/>
      <c r="Z187" s="259"/>
      <c r="AA187" s="259"/>
      <c r="AB187" s="259"/>
      <c r="AC187" s="259"/>
      <c r="AD187" s="259"/>
      <c r="AE187" s="259"/>
      <c r="AF187" s="259"/>
      <c r="AG187" s="259"/>
      <c r="AH187" s="259"/>
      <c r="AI187" s="259"/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</row>
    <row r="188" spans="1:49" ht="12">
      <c r="A188" s="284" t="s">
        <v>189</v>
      </c>
      <c r="B188" s="220"/>
      <c r="C188" s="285">
        <f t="shared" si="134"/>
        <v>0</v>
      </c>
      <c r="D188" s="285">
        <f t="shared" si="134"/>
        <v>0</v>
      </c>
      <c r="E188" s="184">
        <f t="shared" si="132"/>
        <v>0</v>
      </c>
      <c r="F188" s="285">
        <f t="shared" si="135"/>
        <v>538.3</v>
      </c>
      <c r="G188" s="184">
        <f t="shared" si="133"/>
        <v>538.3</v>
      </c>
      <c r="H188" s="285">
        <f t="shared" si="136"/>
        <v>0</v>
      </c>
      <c r="I188" s="310">
        <f t="shared" si="137"/>
        <v>18</v>
      </c>
      <c r="J188" s="310">
        <f t="shared" si="138"/>
        <v>18</v>
      </c>
      <c r="K188" s="259"/>
      <c r="L188" s="259"/>
      <c r="M188" s="259"/>
      <c r="N188" s="20"/>
      <c r="O188" s="184">
        <f t="shared" si="139"/>
        <v>538.3</v>
      </c>
      <c r="P188" s="184">
        <f t="shared" si="140"/>
        <v>0</v>
      </c>
      <c r="Q188" s="184">
        <f t="shared" si="141"/>
        <v>0</v>
      </c>
      <c r="R188" s="297"/>
      <c r="S188" s="20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259"/>
      <c r="AE188" s="259"/>
      <c r="AF188" s="259"/>
      <c r="AG188" s="259"/>
      <c r="AH188" s="259"/>
      <c r="AI188" s="259"/>
      <c r="AJ188" s="259"/>
      <c r="AK188" s="259"/>
      <c r="AL188" s="259"/>
      <c r="AM188" s="259"/>
      <c r="AN188" s="259"/>
      <c r="AO188" s="259"/>
      <c r="AP188" s="259"/>
      <c r="AQ188" s="259"/>
      <c r="AR188" s="259"/>
      <c r="AS188" s="259"/>
      <c r="AT188" s="259"/>
      <c r="AU188" s="259"/>
      <c r="AV188" s="259"/>
      <c r="AW188" s="259"/>
    </row>
    <row r="189" spans="1:49" ht="15">
      <c r="A189" s="284" t="s">
        <v>190</v>
      </c>
      <c r="B189" s="220"/>
      <c r="C189" s="285">
        <f t="shared" si="134"/>
        <v>0</v>
      </c>
      <c r="D189" s="285">
        <f t="shared" si="134"/>
        <v>0</v>
      </c>
      <c r="E189" s="184">
        <f t="shared" si="132"/>
        <v>0</v>
      </c>
      <c r="F189" s="285">
        <f t="shared" si="135"/>
        <v>538.3</v>
      </c>
      <c r="G189" s="184">
        <f t="shared" si="133"/>
        <v>538.3</v>
      </c>
      <c r="H189" s="285">
        <f t="shared" si="136"/>
        <v>0</v>
      </c>
      <c r="I189" s="310">
        <f t="shared" si="137"/>
        <v>18</v>
      </c>
      <c r="J189" s="310">
        <f t="shared" si="138"/>
        <v>18</v>
      </c>
      <c r="K189" s="259"/>
      <c r="L189" s="259"/>
      <c r="M189" s="259"/>
      <c r="N189" s="264"/>
      <c r="O189" s="184">
        <f t="shared" si="139"/>
        <v>538.3</v>
      </c>
      <c r="P189" s="184">
        <f t="shared" si="140"/>
        <v>0</v>
      </c>
      <c r="Q189" s="184">
        <f t="shared" si="141"/>
        <v>0</v>
      </c>
      <c r="R189" s="297"/>
      <c r="S189" s="264"/>
      <c r="T189" s="259"/>
      <c r="U189" s="259"/>
      <c r="V189" s="259"/>
      <c r="W189" s="259"/>
      <c r="X189" s="259"/>
      <c r="Y189" s="259"/>
      <c r="Z189" s="259"/>
      <c r="AA189" s="259"/>
      <c r="AB189" s="259"/>
      <c r="AC189" s="259"/>
      <c r="AD189" s="259"/>
      <c r="AE189" s="259"/>
      <c r="AF189" s="259"/>
      <c r="AG189" s="259"/>
      <c r="AH189" s="259"/>
      <c r="AI189" s="259"/>
      <c r="AJ189" s="259"/>
      <c r="AK189" s="259"/>
      <c r="AL189" s="259"/>
      <c r="AM189" s="259"/>
      <c r="AN189" s="259"/>
      <c r="AO189" s="259"/>
      <c r="AP189" s="259"/>
      <c r="AQ189" s="259"/>
      <c r="AR189" s="259"/>
      <c r="AS189" s="259"/>
      <c r="AT189" s="259"/>
      <c r="AU189" s="259"/>
      <c r="AV189" s="259"/>
      <c r="AW189" s="259"/>
    </row>
    <row r="190" spans="1:49" ht="12">
      <c r="A190" s="284" t="s">
        <v>191</v>
      </c>
      <c r="B190" s="220"/>
      <c r="C190" s="285">
        <f t="shared" si="134"/>
        <v>0</v>
      </c>
      <c r="D190" s="285">
        <f t="shared" si="134"/>
        <v>0</v>
      </c>
      <c r="E190" s="184">
        <f t="shared" si="132"/>
        <v>0</v>
      </c>
      <c r="F190" s="285">
        <f t="shared" si="135"/>
        <v>538.3</v>
      </c>
      <c r="G190" s="184">
        <f t="shared" si="133"/>
        <v>538.3</v>
      </c>
      <c r="H190" s="285">
        <f t="shared" si="136"/>
        <v>0</v>
      </c>
      <c r="I190" s="310">
        <f t="shared" si="137"/>
        <v>18</v>
      </c>
      <c r="J190" s="310">
        <f t="shared" si="138"/>
        <v>18</v>
      </c>
      <c r="K190" s="259"/>
      <c r="L190" s="259"/>
      <c r="M190" s="259"/>
      <c r="N190" s="20"/>
      <c r="O190" s="184">
        <f t="shared" si="139"/>
        <v>538.3</v>
      </c>
      <c r="P190" s="184">
        <f t="shared" si="140"/>
        <v>0</v>
      </c>
      <c r="Q190" s="184">
        <f t="shared" si="141"/>
        <v>0</v>
      </c>
      <c r="R190" s="297"/>
      <c r="S190" s="20"/>
      <c r="T190" s="259"/>
      <c r="U190" s="259"/>
      <c r="V190" s="259"/>
      <c r="W190" s="259"/>
      <c r="X190" s="259"/>
      <c r="Y190" s="259"/>
      <c r="Z190" s="259"/>
      <c r="AA190" s="259"/>
      <c r="AB190" s="259"/>
      <c r="AC190" s="259"/>
      <c r="AD190" s="259"/>
      <c r="AE190" s="259"/>
      <c r="AF190" s="259"/>
      <c r="AG190" s="259"/>
      <c r="AH190" s="259"/>
      <c r="AI190" s="259"/>
      <c r="AJ190" s="259"/>
      <c r="AK190" s="259"/>
      <c r="AL190" s="259"/>
      <c r="AM190" s="259"/>
      <c r="AN190" s="259"/>
      <c r="AO190" s="259"/>
      <c r="AP190" s="259"/>
      <c r="AQ190" s="259"/>
      <c r="AR190" s="259"/>
      <c r="AS190" s="259"/>
      <c r="AT190" s="259"/>
      <c r="AU190" s="259"/>
      <c r="AV190" s="259"/>
      <c r="AW190" s="259"/>
    </row>
    <row r="191" spans="1:49" ht="15">
      <c r="A191" s="284" t="s">
        <v>192</v>
      </c>
      <c r="B191" s="220"/>
      <c r="C191" s="285">
        <f t="shared" si="134"/>
        <v>0</v>
      </c>
      <c r="D191" s="285">
        <f t="shared" si="134"/>
        <v>0</v>
      </c>
      <c r="E191" s="184">
        <f t="shared" si="132"/>
        <v>0</v>
      </c>
      <c r="F191" s="285">
        <f t="shared" si="135"/>
        <v>538.3</v>
      </c>
      <c r="G191" s="184">
        <f t="shared" si="133"/>
        <v>538.3</v>
      </c>
      <c r="H191" s="285">
        <f t="shared" si="136"/>
        <v>0</v>
      </c>
      <c r="I191" s="310">
        <f t="shared" si="137"/>
        <v>18</v>
      </c>
      <c r="J191" s="310">
        <f t="shared" si="138"/>
        <v>18</v>
      </c>
      <c r="K191" s="259"/>
      <c r="L191" s="259"/>
      <c r="M191" s="259"/>
      <c r="N191" s="264"/>
      <c r="O191" s="184">
        <f t="shared" si="139"/>
        <v>538.3</v>
      </c>
      <c r="P191" s="184">
        <f t="shared" si="140"/>
        <v>0</v>
      </c>
      <c r="Q191" s="184">
        <f t="shared" si="141"/>
        <v>0</v>
      </c>
      <c r="R191" s="297"/>
      <c r="S191" s="264"/>
      <c r="T191" s="259"/>
      <c r="U191" s="259"/>
      <c r="V191" s="259"/>
      <c r="W191" s="259"/>
      <c r="X191" s="259"/>
      <c r="Y191" s="259"/>
      <c r="Z191" s="259"/>
      <c r="AA191" s="259"/>
      <c r="AB191" s="259"/>
      <c r="AC191" s="259"/>
      <c r="AD191" s="259"/>
      <c r="AE191" s="259"/>
      <c r="AF191" s="259"/>
      <c r="AG191" s="259"/>
      <c r="AH191" s="259"/>
      <c r="AI191" s="259"/>
      <c r="AJ191" s="259"/>
      <c r="AK191" s="259"/>
      <c r="AL191" s="259"/>
      <c r="AM191" s="259"/>
      <c r="AN191" s="259"/>
      <c r="AO191" s="259"/>
      <c r="AP191" s="259"/>
      <c r="AQ191" s="259"/>
      <c r="AR191" s="259"/>
      <c r="AS191" s="259"/>
      <c r="AT191" s="259"/>
      <c r="AU191" s="259"/>
      <c r="AV191" s="259"/>
      <c r="AW191" s="259"/>
    </row>
    <row r="192" spans="1:49" ht="12.75">
      <c r="A192" s="282">
        <f>A179+1</f>
        <v>2007</v>
      </c>
      <c r="B192" s="28"/>
      <c r="C192" s="28"/>
      <c r="D192" s="28"/>
      <c r="E192" s="306">
        <f>SUM(E193:E204)</f>
        <v>0</v>
      </c>
      <c r="F192" s="287"/>
      <c r="G192" s="283">
        <f>SUM(G193:G204)</f>
        <v>6459.600000000001</v>
      </c>
      <c r="H192" s="309">
        <f>SUM(H193:H204)</f>
        <v>0</v>
      </c>
      <c r="I192" s="311">
        <f>SUM(I193:I204)</f>
        <v>216</v>
      </c>
      <c r="J192" s="311">
        <f>SUM(J193:J204)</f>
        <v>216</v>
      </c>
      <c r="K192" s="259"/>
      <c r="L192" s="259"/>
      <c r="M192" s="259"/>
      <c r="N192" s="20"/>
      <c r="O192" s="136">
        <f>SUM(O193:O204)</f>
        <v>6459.600000000001</v>
      </c>
      <c r="P192" s="136">
        <f>SUM(P193:P204)</f>
        <v>0</v>
      </c>
      <c r="Q192" s="136">
        <f>SUM(Q193:Q204)</f>
        <v>0</v>
      </c>
      <c r="R192" s="136">
        <f>J192/I192</f>
        <v>1</v>
      </c>
      <c r="S192" s="20"/>
      <c r="T192" s="259"/>
      <c r="U192" s="259"/>
      <c r="V192" s="259"/>
      <c r="W192" s="259"/>
      <c r="X192" s="259"/>
      <c r="Y192" s="259"/>
      <c r="Z192" s="259"/>
      <c r="AA192" s="259"/>
      <c r="AB192" s="259"/>
      <c r="AC192" s="259"/>
      <c r="AD192" s="259"/>
      <c r="AE192" s="259"/>
      <c r="AF192" s="259"/>
      <c r="AG192" s="259"/>
      <c r="AH192" s="259"/>
      <c r="AI192" s="259"/>
      <c r="AJ192" s="259"/>
      <c r="AK192" s="259"/>
      <c r="AL192" s="259"/>
      <c r="AM192" s="259"/>
      <c r="AN192" s="259"/>
      <c r="AO192" s="259"/>
      <c r="AP192" s="259"/>
      <c r="AQ192" s="259"/>
      <c r="AR192" s="259"/>
      <c r="AS192" s="259"/>
      <c r="AT192" s="259"/>
      <c r="AU192" s="259"/>
      <c r="AV192" s="259"/>
      <c r="AW192" s="259"/>
    </row>
    <row r="193" spans="1:49" ht="15">
      <c r="A193" s="284" t="s">
        <v>181</v>
      </c>
      <c r="B193" s="220"/>
      <c r="C193" s="285">
        <f>C191</f>
        <v>0</v>
      </c>
      <c r="D193" s="285">
        <f>D191</f>
        <v>0</v>
      </c>
      <c r="E193" s="184">
        <f aca="true" t="shared" si="142" ref="E193:E204">C193+D193</f>
        <v>0</v>
      </c>
      <c r="F193" s="285">
        <f>F191</f>
        <v>538.3</v>
      </c>
      <c r="G193" s="184">
        <f aca="true" t="shared" si="143" ref="G193:G204">SUM(E193:F193)</f>
        <v>538.3</v>
      </c>
      <c r="H193" s="285">
        <f>H191</f>
        <v>0</v>
      </c>
      <c r="I193" s="310">
        <f>I191</f>
        <v>18</v>
      </c>
      <c r="J193" s="310">
        <f>J191</f>
        <v>18</v>
      </c>
      <c r="K193" s="259"/>
      <c r="L193" s="259"/>
      <c r="M193" s="259"/>
      <c r="N193" s="264"/>
      <c r="O193" s="184">
        <f>G193/I193*J193</f>
        <v>538.3</v>
      </c>
      <c r="P193" s="184">
        <f>E193*0.18/I193*J193</f>
        <v>0</v>
      </c>
      <c r="Q193" s="184">
        <f>H193/I193*J193</f>
        <v>0</v>
      </c>
      <c r="R193" s="297"/>
      <c r="S193" s="264"/>
      <c r="T193" s="259"/>
      <c r="U193" s="259"/>
      <c r="V193" s="259"/>
      <c r="W193" s="259"/>
      <c r="X193" s="259"/>
      <c r="Y193" s="259"/>
      <c r="Z193" s="259"/>
      <c r="AA193" s="259"/>
      <c r="AB193" s="259"/>
      <c r="AC193" s="259"/>
      <c r="AD193" s="259"/>
      <c r="AE193" s="259"/>
      <c r="AF193" s="259"/>
      <c r="AG193" s="259"/>
      <c r="AH193" s="259"/>
      <c r="AI193" s="259"/>
      <c r="AJ193" s="259"/>
      <c r="AK193" s="259"/>
      <c r="AL193" s="259"/>
      <c r="AM193" s="259"/>
      <c r="AN193" s="259"/>
      <c r="AO193" s="259"/>
      <c r="AP193" s="259"/>
      <c r="AQ193" s="259"/>
      <c r="AR193" s="259"/>
      <c r="AS193" s="259"/>
      <c r="AT193" s="259"/>
      <c r="AU193" s="259"/>
      <c r="AV193" s="259"/>
      <c r="AW193" s="259"/>
    </row>
    <row r="194" spans="1:49" ht="12">
      <c r="A194" s="284" t="s">
        <v>182</v>
      </c>
      <c r="B194" s="220"/>
      <c r="C194" s="285">
        <f aca="true" t="shared" si="144" ref="C194:D204">C193</f>
        <v>0</v>
      </c>
      <c r="D194" s="285">
        <f t="shared" si="144"/>
        <v>0</v>
      </c>
      <c r="E194" s="184">
        <f t="shared" si="142"/>
        <v>0</v>
      </c>
      <c r="F194" s="285">
        <f aca="true" t="shared" si="145" ref="F194:F204">F193</f>
        <v>538.3</v>
      </c>
      <c r="G194" s="184">
        <f t="shared" si="143"/>
        <v>538.3</v>
      </c>
      <c r="H194" s="285">
        <f aca="true" t="shared" si="146" ref="H194:H204">H193</f>
        <v>0</v>
      </c>
      <c r="I194" s="310">
        <f aca="true" t="shared" si="147" ref="I194:I204">I193</f>
        <v>18</v>
      </c>
      <c r="J194" s="310">
        <f aca="true" t="shared" si="148" ref="J194:J204">J193</f>
        <v>18</v>
      </c>
      <c r="K194" s="259"/>
      <c r="L194" s="259"/>
      <c r="M194" s="259"/>
      <c r="N194" s="20"/>
      <c r="O194" s="184">
        <f aca="true" t="shared" si="149" ref="O194:O204">G194/I194*J194</f>
        <v>538.3</v>
      </c>
      <c r="P194" s="184">
        <f aca="true" t="shared" si="150" ref="P194:P204">E194*0.18/I194*J194</f>
        <v>0</v>
      </c>
      <c r="Q194" s="184">
        <f aca="true" t="shared" si="151" ref="Q194:Q204">H194/I194*J194</f>
        <v>0</v>
      </c>
      <c r="R194" s="297"/>
      <c r="S194" s="20"/>
      <c r="T194" s="259"/>
      <c r="U194" s="259"/>
      <c r="V194" s="259"/>
      <c r="W194" s="259"/>
      <c r="X194" s="259"/>
      <c r="Y194" s="259"/>
      <c r="Z194" s="259"/>
      <c r="AA194" s="259"/>
      <c r="AB194" s="259"/>
      <c r="AC194" s="259"/>
      <c r="AD194" s="259"/>
      <c r="AE194" s="259"/>
      <c r="AF194" s="259"/>
      <c r="AG194" s="259"/>
      <c r="AH194" s="259"/>
      <c r="AI194" s="259"/>
      <c r="AJ194" s="259"/>
      <c r="AK194" s="259"/>
      <c r="AL194" s="259"/>
      <c r="AM194" s="259"/>
      <c r="AN194" s="259"/>
      <c r="AO194" s="259"/>
      <c r="AP194" s="259"/>
      <c r="AQ194" s="259"/>
      <c r="AR194" s="259"/>
      <c r="AS194" s="259"/>
      <c r="AT194" s="259"/>
      <c r="AU194" s="259"/>
      <c r="AV194" s="259"/>
      <c r="AW194" s="259"/>
    </row>
    <row r="195" spans="1:49" ht="15">
      <c r="A195" s="284" t="s">
        <v>183</v>
      </c>
      <c r="B195" s="220"/>
      <c r="C195" s="285">
        <f t="shared" si="144"/>
        <v>0</v>
      </c>
      <c r="D195" s="285">
        <f t="shared" si="144"/>
        <v>0</v>
      </c>
      <c r="E195" s="184">
        <f t="shared" si="142"/>
        <v>0</v>
      </c>
      <c r="F195" s="285">
        <f t="shared" si="145"/>
        <v>538.3</v>
      </c>
      <c r="G195" s="184">
        <f t="shared" si="143"/>
        <v>538.3</v>
      </c>
      <c r="H195" s="285">
        <f t="shared" si="146"/>
        <v>0</v>
      </c>
      <c r="I195" s="310">
        <f t="shared" si="147"/>
        <v>18</v>
      </c>
      <c r="J195" s="310">
        <f t="shared" si="148"/>
        <v>18</v>
      </c>
      <c r="K195" s="259"/>
      <c r="L195" s="259"/>
      <c r="M195" s="259"/>
      <c r="N195" s="264"/>
      <c r="O195" s="184">
        <f t="shared" si="149"/>
        <v>538.3</v>
      </c>
      <c r="P195" s="184">
        <f t="shared" si="150"/>
        <v>0</v>
      </c>
      <c r="Q195" s="184">
        <f t="shared" si="151"/>
        <v>0</v>
      </c>
      <c r="R195" s="297"/>
      <c r="S195" s="264"/>
      <c r="T195" s="259"/>
      <c r="U195" s="259"/>
      <c r="V195" s="259"/>
      <c r="W195" s="259"/>
      <c r="X195" s="259"/>
      <c r="Y195" s="259"/>
      <c r="Z195" s="259"/>
      <c r="AA195" s="259"/>
      <c r="AB195" s="259"/>
      <c r="AC195" s="259"/>
      <c r="AD195" s="259"/>
      <c r="AE195" s="259"/>
      <c r="AF195" s="259"/>
      <c r="AG195" s="259"/>
      <c r="AH195" s="259"/>
      <c r="AI195" s="259"/>
      <c r="AJ195" s="259"/>
      <c r="AK195" s="259"/>
      <c r="AL195" s="259"/>
      <c r="AM195" s="259"/>
      <c r="AN195" s="259"/>
      <c r="AO195" s="259"/>
      <c r="AP195" s="259"/>
      <c r="AQ195" s="259"/>
      <c r="AR195" s="259"/>
      <c r="AS195" s="259"/>
      <c r="AT195" s="259"/>
      <c r="AU195" s="259"/>
      <c r="AV195" s="259"/>
      <c r="AW195" s="259"/>
    </row>
    <row r="196" spans="1:49" ht="12">
      <c r="A196" s="284" t="s">
        <v>184</v>
      </c>
      <c r="B196" s="220"/>
      <c r="C196" s="285">
        <f t="shared" si="144"/>
        <v>0</v>
      </c>
      <c r="D196" s="285">
        <f t="shared" si="144"/>
        <v>0</v>
      </c>
      <c r="E196" s="184">
        <f t="shared" si="142"/>
        <v>0</v>
      </c>
      <c r="F196" s="285">
        <f t="shared" si="145"/>
        <v>538.3</v>
      </c>
      <c r="G196" s="184">
        <f t="shared" si="143"/>
        <v>538.3</v>
      </c>
      <c r="H196" s="285">
        <f t="shared" si="146"/>
        <v>0</v>
      </c>
      <c r="I196" s="310">
        <f t="shared" si="147"/>
        <v>18</v>
      </c>
      <c r="J196" s="310">
        <f t="shared" si="148"/>
        <v>18</v>
      </c>
      <c r="K196" s="259"/>
      <c r="L196" s="259"/>
      <c r="M196" s="259"/>
      <c r="N196" s="20"/>
      <c r="O196" s="184">
        <f t="shared" si="149"/>
        <v>538.3</v>
      </c>
      <c r="P196" s="184">
        <f t="shared" si="150"/>
        <v>0</v>
      </c>
      <c r="Q196" s="184">
        <f t="shared" si="151"/>
        <v>0</v>
      </c>
      <c r="R196" s="297"/>
      <c r="S196" s="20"/>
      <c r="T196" s="259"/>
      <c r="U196" s="259"/>
      <c r="V196" s="259"/>
      <c r="W196" s="259"/>
      <c r="X196" s="259"/>
      <c r="Y196" s="259"/>
      <c r="Z196" s="259"/>
      <c r="AA196" s="259"/>
      <c r="AB196" s="259"/>
      <c r="AC196" s="259"/>
      <c r="AD196" s="259"/>
      <c r="AE196" s="259"/>
      <c r="AF196" s="259"/>
      <c r="AG196" s="259"/>
      <c r="AH196" s="259"/>
      <c r="AI196" s="259"/>
      <c r="AJ196" s="259"/>
      <c r="AK196" s="259"/>
      <c r="AL196" s="259"/>
      <c r="AM196" s="259"/>
      <c r="AN196" s="259"/>
      <c r="AO196" s="259"/>
      <c r="AP196" s="259"/>
      <c r="AQ196" s="259"/>
      <c r="AR196" s="259"/>
      <c r="AS196" s="259"/>
      <c r="AT196" s="259"/>
      <c r="AU196" s="259"/>
      <c r="AV196" s="259"/>
      <c r="AW196" s="259"/>
    </row>
    <row r="197" spans="1:49" ht="15">
      <c r="A197" s="284" t="s">
        <v>185</v>
      </c>
      <c r="B197" s="220"/>
      <c r="C197" s="285">
        <f t="shared" si="144"/>
        <v>0</v>
      </c>
      <c r="D197" s="285">
        <f t="shared" si="144"/>
        <v>0</v>
      </c>
      <c r="E197" s="184">
        <f t="shared" si="142"/>
        <v>0</v>
      </c>
      <c r="F197" s="285">
        <f t="shared" si="145"/>
        <v>538.3</v>
      </c>
      <c r="G197" s="184">
        <f t="shared" si="143"/>
        <v>538.3</v>
      </c>
      <c r="H197" s="285">
        <f t="shared" si="146"/>
        <v>0</v>
      </c>
      <c r="I197" s="310">
        <f t="shared" si="147"/>
        <v>18</v>
      </c>
      <c r="J197" s="310">
        <f t="shared" si="148"/>
        <v>18</v>
      </c>
      <c r="K197" s="259"/>
      <c r="L197" s="259"/>
      <c r="M197" s="259"/>
      <c r="N197" s="264"/>
      <c r="O197" s="184">
        <f t="shared" si="149"/>
        <v>538.3</v>
      </c>
      <c r="P197" s="184">
        <f t="shared" si="150"/>
        <v>0</v>
      </c>
      <c r="Q197" s="184">
        <f t="shared" si="151"/>
        <v>0</v>
      </c>
      <c r="R197" s="297"/>
      <c r="S197" s="264"/>
      <c r="T197" s="259"/>
      <c r="U197" s="259"/>
      <c r="V197" s="259"/>
      <c r="W197" s="259"/>
      <c r="X197" s="259"/>
      <c r="Y197" s="259"/>
      <c r="Z197" s="259"/>
      <c r="AA197" s="259"/>
      <c r="AB197" s="259"/>
      <c r="AC197" s="259"/>
      <c r="AD197" s="259"/>
      <c r="AE197" s="259"/>
      <c r="AF197" s="259"/>
      <c r="AG197" s="259"/>
      <c r="AH197" s="259"/>
      <c r="AI197" s="259"/>
      <c r="AJ197" s="259"/>
      <c r="AK197" s="259"/>
      <c r="AL197" s="259"/>
      <c r="AM197" s="259"/>
      <c r="AN197" s="259"/>
      <c r="AO197" s="259"/>
      <c r="AP197" s="259"/>
      <c r="AQ197" s="259"/>
      <c r="AR197" s="259"/>
      <c r="AS197" s="259"/>
      <c r="AT197" s="259"/>
      <c r="AU197" s="259"/>
      <c r="AV197" s="259"/>
      <c r="AW197" s="259"/>
    </row>
    <row r="198" spans="1:49" ht="12">
      <c r="A198" s="284" t="s">
        <v>186</v>
      </c>
      <c r="B198" s="220"/>
      <c r="C198" s="285">
        <f t="shared" si="144"/>
        <v>0</v>
      </c>
      <c r="D198" s="285">
        <f t="shared" si="144"/>
        <v>0</v>
      </c>
      <c r="E198" s="184">
        <f t="shared" si="142"/>
        <v>0</v>
      </c>
      <c r="F198" s="285">
        <f t="shared" si="145"/>
        <v>538.3</v>
      </c>
      <c r="G198" s="184">
        <f t="shared" si="143"/>
        <v>538.3</v>
      </c>
      <c r="H198" s="285">
        <f t="shared" si="146"/>
        <v>0</v>
      </c>
      <c r="I198" s="310">
        <f t="shared" si="147"/>
        <v>18</v>
      </c>
      <c r="J198" s="310">
        <f t="shared" si="148"/>
        <v>18</v>
      </c>
      <c r="K198" s="259"/>
      <c r="L198" s="259"/>
      <c r="M198" s="259"/>
      <c r="N198" s="20"/>
      <c r="O198" s="184">
        <f t="shared" si="149"/>
        <v>538.3</v>
      </c>
      <c r="P198" s="184">
        <f t="shared" si="150"/>
        <v>0</v>
      </c>
      <c r="Q198" s="184">
        <f t="shared" si="151"/>
        <v>0</v>
      </c>
      <c r="R198" s="297"/>
      <c r="S198" s="20"/>
      <c r="T198" s="259"/>
      <c r="U198" s="259"/>
      <c r="V198" s="259"/>
      <c r="W198" s="259"/>
      <c r="X198" s="259"/>
      <c r="Y198" s="259"/>
      <c r="Z198" s="259"/>
      <c r="AA198" s="259"/>
      <c r="AB198" s="259"/>
      <c r="AC198" s="259"/>
      <c r="AD198" s="259"/>
      <c r="AE198" s="259"/>
      <c r="AF198" s="259"/>
      <c r="AG198" s="259"/>
      <c r="AH198" s="259"/>
      <c r="AI198" s="259"/>
      <c r="AJ198" s="259"/>
      <c r="AK198" s="259"/>
      <c r="AL198" s="259"/>
      <c r="AM198" s="259"/>
      <c r="AN198" s="259"/>
      <c r="AO198" s="259"/>
      <c r="AP198" s="259"/>
      <c r="AQ198" s="259"/>
      <c r="AR198" s="259"/>
      <c r="AS198" s="259"/>
      <c r="AT198" s="259"/>
      <c r="AU198" s="259"/>
      <c r="AV198" s="259"/>
      <c r="AW198" s="259"/>
    </row>
    <row r="199" spans="1:49" ht="15">
      <c r="A199" s="284" t="s">
        <v>187</v>
      </c>
      <c r="B199" s="220"/>
      <c r="C199" s="285">
        <f t="shared" si="144"/>
        <v>0</v>
      </c>
      <c r="D199" s="285">
        <f t="shared" si="144"/>
        <v>0</v>
      </c>
      <c r="E199" s="184">
        <f t="shared" si="142"/>
        <v>0</v>
      </c>
      <c r="F199" s="285">
        <f t="shared" si="145"/>
        <v>538.3</v>
      </c>
      <c r="G199" s="184">
        <f t="shared" si="143"/>
        <v>538.3</v>
      </c>
      <c r="H199" s="285">
        <f t="shared" si="146"/>
        <v>0</v>
      </c>
      <c r="I199" s="310">
        <f t="shared" si="147"/>
        <v>18</v>
      </c>
      <c r="J199" s="310">
        <f t="shared" si="148"/>
        <v>18</v>
      </c>
      <c r="K199" s="259"/>
      <c r="L199" s="259"/>
      <c r="M199" s="259"/>
      <c r="N199" s="264"/>
      <c r="O199" s="184">
        <f t="shared" si="149"/>
        <v>538.3</v>
      </c>
      <c r="P199" s="184">
        <f t="shared" si="150"/>
        <v>0</v>
      </c>
      <c r="Q199" s="184">
        <f t="shared" si="151"/>
        <v>0</v>
      </c>
      <c r="R199" s="297"/>
      <c r="S199" s="264"/>
      <c r="T199" s="259"/>
      <c r="U199" s="259"/>
      <c r="V199" s="259"/>
      <c r="W199" s="259"/>
      <c r="X199" s="259"/>
      <c r="Y199" s="259"/>
      <c r="Z199" s="259"/>
      <c r="AA199" s="259"/>
      <c r="AB199" s="259"/>
      <c r="AC199" s="259"/>
      <c r="AD199" s="259"/>
      <c r="AE199" s="259"/>
      <c r="AF199" s="259"/>
      <c r="AG199" s="259"/>
      <c r="AH199" s="259"/>
      <c r="AI199" s="259"/>
      <c r="AJ199" s="259"/>
      <c r="AK199" s="259"/>
      <c r="AL199" s="259"/>
      <c r="AM199" s="259"/>
      <c r="AN199" s="259"/>
      <c r="AO199" s="259"/>
      <c r="AP199" s="259"/>
      <c r="AQ199" s="259"/>
      <c r="AR199" s="259"/>
      <c r="AS199" s="259"/>
      <c r="AT199" s="259"/>
      <c r="AU199" s="259"/>
      <c r="AV199" s="259"/>
      <c r="AW199" s="259"/>
    </row>
    <row r="200" spans="1:49" ht="12">
      <c r="A200" s="284" t="s">
        <v>188</v>
      </c>
      <c r="B200" s="220"/>
      <c r="C200" s="285">
        <f t="shared" si="144"/>
        <v>0</v>
      </c>
      <c r="D200" s="285">
        <f t="shared" si="144"/>
        <v>0</v>
      </c>
      <c r="E200" s="184">
        <f t="shared" si="142"/>
        <v>0</v>
      </c>
      <c r="F200" s="285">
        <f t="shared" si="145"/>
        <v>538.3</v>
      </c>
      <c r="G200" s="184">
        <f t="shared" si="143"/>
        <v>538.3</v>
      </c>
      <c r="H200" s="285">
        <f t="shared" si="146"/>
        <v>0</v>
      </c>
      <c r="I200" s="310">
        <f t="shared" si="147"/>
        <v>18</v>
      </c>
      <c r="J200" s="310">
        <f t="shared" si="148"/>
        <v>18</v>
      </c>
      <c r="K200" s="259"/>
      <c r="L200" s="259"/>
      <c r="M200" s="259"/>
      <c r="N200" s="20"/>
      <c r="O200" s="184">
        <f t="shared" si="149"/>
        <v>538.3</v>
      </c>
      <c r="P200" s="184">
        <f t="shared" si="150"/>
        <v>0</v>
      </c>
      <c r="Q200" s="184">
        <f t="shared" si="151"/>
        <v>0</v>
      </c>
      <c r="R200" s="297"/>
      <c r="S200" s="20"/>
      <c r="T200" s="259"/>
      <c r="U200" s="259"/>
      <c r="V200" s="259"/>
      <c r="W200" s="259"/>
      <c r="X200" s="259"/>
      <c r="Y200" s="259"/>
      <c r="Z200" s="259"/>
      <c r="AA200" s="259"/>
      <c r="AB200" s="259"/>
      <c r="AC200" s="259"/>
      <c r="AD200" s="259"/>
      <c r="AE200" s="259"/>
      <c r="AF200" s="259"/>
      <c r="AG200" s="259"/>
      <c r="AH200" s="259"/>
      <c r="AI200" s="259"/>
      <c r="AJ200" s="259"/>
      <c r="AK200" s="259"/>
      <c r="AL200" s="259"/>
      <c r="AM200" s="259"/>
      <c r="AN200" s="259"/>
      <c r="AO200" s="259"/>
      <c r="AP200" s="259"/>
      <c r="AQ200" s="259"/>
      <c r="AR200" s="259"/>
      <c r="AS200" s="259"/>
      <c r="AT200" s="259"/>
      <c r="AU200" s="259"/>
      <c r="AV200" s="259"/>
      <c r="AW200" s="259"/>
    </row>
    <row r="201" spans="1:49" ht="15">
      <c r="A201" s="284" t="s">
        <v>189</v>
      </c>
      <c r="B201" s="220"/>
      <c r="C201" s="285">
        <f t="shared" si="144"/>
        <v>0</v>
      </c>
      <c r="D201" s="285">
        <f t="shared" si="144"/>
        <v>0</v>
      </c>
      <c r="E201" s="184">
        <f t="shared" si="142"/>
        <v>0</v>
      </c>
      <c r="F201" s="285">
        <f t="shared" si="145"/>
        <v>538.3</v>
      </c>
      <c r="G201" s="184">
        <f t="shared" si="143"/>
        <v>538.3</v>
      </c>
      <c r="H201" s="285">
        <f t="shared" si="146"/>
        <v>0</v>
      </c>
      <c r="I201" s="310">
        <f t="shared" si="147"/>
        <v>18</v>
      </c>
      <c r="J201" s="310">
        <f t="shared" si="148"/>
        <v>18</v>
      </c>
      <c r="K201" s="259"/>
      <c r="L201" s="259"/>
      <c r="M201" s="259"/>
      <c r="N201" s="264"/>
      <c r="O201" s="184">
        <f t="shared" si="149"/>
        <v>538.3</v>
      </c>
      <c r="P201" s="184">
        <f t="shared" si="150"/>
        <v>0</v>
      </c>
      <c r="Q201" s="184">
        <f t="shared" si="151"/>
        <v>0</v>
      </c>
      <c r="R201" s="297"/>
      <c r="S201" s="264"/>
      <c r="T201" s="259"/>
      <c r="U201" s="259"/>
      <c r="V201" s="259"/>
      <c r="W201" s="259"/>
      <c r="X201" s="259"/>
      <c r="Y201" s="259"/>
      <c r="Z201" s="259"/>
      <c r="AA201" s="259"/>
      <c r="AB201" s="259"/>
      <c r="AC201" s="259"/>
      <c r="AD201" s="259"/>
      <c r="AE201" s="259"/>
      <c r="AF201" s="259"/>
      <c r="AG201" s="259"/>
      <c r="AH201" s="259"/>
      <c r="AI201" s="259"/>
      <c r="AJ201" s="259"/>
      <c r="AK201" s="259"/>
      <c r="AL201" s="259"/>
      <c r="AM201" s="259"/>
      <c r="AN201" s="259"/>
      <c r="AO201" s="259"/>
      <c r="AP201" s="259"/>
      <c r="AQ201" s="259"/>
      <c r="AR201" s="259"/>
      <c r="AS201" s="259"/>
      <c r="AT201" s="259"/>
      <c r="AU201" s="259"/>
      <c r="AV201" s="259"/>
      <c r="AW201" s="259"/>
    </row>
    <row r="202" spans="1:49" ht="12">
      <c r="A202" s="284" t="s">
        <v>190</v>
      </c>
      <c r="B202" s="220"/>
      <c r="C202" s="285">
        <f t="shared" si="144"/>
        <v>0</v>
      </c>
      <c r="D202" s="285">
        <f t="shared" si="144"/>
        <v>0</v>
      </c>
      <c r="E202" s="184">
        <f t="shared" si="142"/>
        <v>0</v>
      </c>
      <c r="F202" s="285">
        <f t="shared" si="145"/>
        <v>538.3</v>
      </c>
      <c r="G202" s="184">
        <f t="shared" si="143"/>
        <v>538.3</v>
      </c>
      <c r="H202" s="285">
        <f t="shared" si="146"/>
        <v>0</v>
      </c>
      <c r="I202" s="310">
        <f t="shared" si="147"/>
        <v>18</v>
      </c>
      <c r="J202" s="310">
        <f t="shared" si="148"/>
        <v>18</v>
      </c>
      <c r="K202" s="259"/>
      <c r="L202" s="259"/>
      <c r="M202" s="259"/>
      <c r="N202" s="20"/>
      <c r="O202" s="184">
        <f t="shared" si="149"/>
        <v>538.3</v>
      </c>
      <c r="P202" s="184">
        <f t="shared" si="150"/>
        <v>0</v>
      </c>
      <c r="Q202" s="184">
        <f t="shared" si="151"/>
        <v>0</v>
      </c>
      <c r="R202" s="297"/>
      <c r="S202" s="20"/>
      <c r="T202" s="259"/>
      <c r="U202" s="259"/>
      <c r="V202" s="259"/>
      <c r="W202" s="259"/>
      <c r="X202" s="259"/>
      <c r="Y202" s="259"/>
      <c r="Z202" s="259"/>
      <c r="AA202" s="259"/>
      <c r="AB202" s="259"/>
      <c r="AC202" s="259"/>
      <c r="AD202" s="259"/>
      <c r="AE202" s="259"/>
      <c r="AF202" s="259"/>
      <c r="AG202" s="259"/>
      <c r="AH202" s="259"/>
      <c r="AI202" s="259"/>
      <c r="AJ202" s="259"/>
      <c r="AK202" s="259"/>
      <c r="AL202" s="259"/>
      <c r="AM202" s="259"/>
      <c r="AN202" s="259"/>
      <c r="AO202" s="259"/>
      <c r="AP202" s="259"/>
      <c r="AQ202" s="259"/>
      <c r="AR202" s="259"/>
      <c r="AS202" s="259"/>
      <c r="AT202" s="259"/>
      <c r="AU202" s="259"/>
      <c r="AV202" s="259"/>
      <c r="AW202" s="259"/>
    </row>
    <row r="203" spans="1:49" ht="15">
      <c r="A203" s="284" t="s">
        <v>191</v>
      </c>
      <c r="B203" s="220"/>
      <c r="C203" s="285">
        <f t="shared" si="144"/>
        <v>0</v>
      </c>
      <c r="D203" s="285">
        <f t="shared" si="144"/>
        <v>0</v>
      </c>
      <c r="E203" s="184">
        <f t="shared" si="142"/>
        <v>0</v>
      </c>
      <c r="F203" s="285">
        <f t="shared" si="145"/>
        <v>538.3</v>
      </c>
      <c r="G203" s="184">
        <f t="shared" si="143"/>
        <v>538.3</v>
      </c>
      <c r="H203" s="285">
        <f t="shared" si="146"/>
        <v>0</v>
      </c>
      <c r="I203" s="310">
        <f t="shared" si="147"/>
        <v>18</v>
      </c>
      <c r="J203" s="310">
        <f t="shared" si="148"/>
        <v>18</v>
      </c>
      <c r="K203" s="259"/>
      <c r="L203" s="259"/>
      <c r="M203" s="259"/>
      <c r="N203" s="264"/>
      <c r="O203" s="184">
        <f t="shared" si="149"/>
        <v>538.3</v>
      </c>
      <c r="P203" s="184">
        <f t="shared" si="150"/>
        <v>0</v>
      </c>
      <c r="Q203" s="184">
        <f t="shared" si="151"/>
        <v>0</v>
      </c>
      <c r="R203" s="297"/>
      <c r="S203" s="264"/>
      <c r="T203" s="259"/>
      <c r="U203" s="259"/>
      <c r="V203" s="259"/>
      <c r="W203" s="259"/>
      <c r="X203" s="259"/>
      <c r="Y203" s="259"/>
      <c r="Z203" s="259"/>
      <c r="AA203" s="259"/>
      <c r="AB203" s="259"/>
      <c r="AC203" s="259"/>
      <c r="AD203" s="259"/>
      <c r="AE203" s="259"/>
      <c r="AF203" s="259"/>
      <c r="AG203" s="259"/>
      <c r="AH203" s="259"/>
      <c r="AI203" s="259"/>
      <c r="AJ203" s="259"/>
      <c r="AK203" s="259"/>
      <c r="AL203" s="259"/>
      <c r="AM203" s="259"/>
      <c r="AN203" s="259"/>
      <c r="AO203" s="259"/>
      <c r="AP203" s="259"/>
      <c r="AQ203" s="259"/>
      <c r="AR203" s="259"/>
      <c r="AS203" s="259"/>
      <c r="AT203" s="259"/>
      <c r="AU203" s="259"/>
      <c r="AV203" s="259"/>
      <c r="AW203" s="259"/>
    </row>
    <row r="204" spans="1:49" ht="12">
      <c r="A204" s="284" t="s">
        <v>192</v>
      </c>
      <c r="B204" s="220"/>
      <c r="C204" s="285">
        <f t="shared" si="144"/>
        <v>0</v>
      </c>
      <c r="D204" s="285">
        <f t="shared" si="144"/>
        <v>0</v>
      </c>
      <c r="E204" s="184">
        <f t="shared" si="142"/>
        <v>0</v>
      </c>
      <c r="F204" s="285">
        <f t="shared" si="145"/>
        <v>538.3</v>
      </c>
      <c r="G204" s="184">
        <f t="shared" si="143"/>
        <v>538.3</v>
      </c>
      <c r="H204" s="285">
        <f t="shared" si="146"/>
        <v>0</v>
      </c>
      <c r="I204" s="310">
        <f t="shared" si="147"/>
        <v>18</v>
      </c>
      <c r="J204" s="310">
        <f t="shared" si="148"/>
        <v>18</v>
      </c>
      <c r="K204" s="259"/>
      <c r="L204" s="259"/>
      <c r="M204" s="259"/>
      <c r="N204" s="20"/>
      <c r="O204" s="184">
        <f t="shared" si="149"/>
        <v>538.3</v>
      </c>
      <c r="P204" s="184">
        <f t="shared" si="150"/>
        <v>0</v>
      </c>
      <c r="Q204" s="184">
        <f t="shared" si="151"/>
        <v>0</v>
      </c>
      <c r="R204" s="297"/>
      <c r="S204" s="20"/>
      <c r="T204" s="259"/>
      <c r="U204" s="259"/>
      <c r="V204" s="259"/>
      <c r="W204" s="259"/>
      <c r="X204" s="259"/>
      <c r="Y204" s="259"/>
      <c r="Z204" s="259"/>
      <c r="AA204" s="259"/>
      <c r="AB204" s="259"/>
      <c r="AC204" s="259"/>
      <c r="AD204" s="259"/>
      <c r="AE204" s="259"/>
      <c r="AF204" s="259"/>
      <c r="AG204" s="259"/>
      <c r="AH204" s="259"/>
      <c r="AI204" s="259"/>
      <c r="AJ204" s="259"/>
      <c r="AK204" s="259"/>
      <c r="AL204" s="259"/>
      <c r="AM204" s="259"/>
      <c r="AN204" s="259"/>
      <c r="AO204" s="259"/>
      <c r="AP204" s="259"/>
      <c r="AQ204" s="259"/>
      <c r="AR204" s="259"/>
      <c r="AS204" s="259"/>
      <c r="AT204" s="259"/>
      <c r="AU204" s="259"/>
      <c r="AV204" s="259"/>
      <c r="AW204" s="259"/>
    </row>
    <row r="205" spans="1:49" ht="15">
      <c r="A205" s="282">
        <f>A192+1</f>
        <v>2008</v>
      </c>
      <c r="B205" s="28"/>
      <c r="C205" s="28"/>
      <c r="D205" s="28"/>
      <c r="E205" s="306">
        <f>SUM(E206:E217)</f>
        <v>0</v>
      </c>
      <c r="F205" s="287"/>
      <c r="G205" s="283">
        <f>SUM(G206:G217)</f>
        <v>6459.600000000001</v>
      </c>
      <c r="H205" s="309">
        <f>SUM(H206:H217)</f>
        <v>0</v>
      </c>
      <c r="I205" s="311">
        <f>SUM(I206:I217)</f>
        <v>216</v>
      </c>
      <c r="J205" s="311">
        <f>SUM(J206:J217)</f>
        <v>216</v>
      </c>
      <c r="K205" s="259"/>
      <c r="L205" s="259"/>
      <c r="M205" s="259"/>
      <c r="N205" s="264"/>
      <c r="O205" s="136">
        <f>SUM(O206:O217)</f>
        <v>6459.600000000001</v>
      </c>
      <c r="P205" s="136">
        <f>SUM(P206:P217)</f>
        <v>0</v>
      </c>
      <c r="Q205" s="136">
        <f>SUM(Q206:Q217)</f>
        <v>0</v>
      </c>
      <c r="R205" s="136">
        <f>J205/I205</f>
        <v>1</v>
      </c>
      <c r="S205" s="264"/>
      <c r="T205" s="259"/>
      <c r="U205" s="259"/>
      <c r="V205" s="259"/>
      <c r="W205" s="259"/>
      <c r="X205" s="259"/>
      <c r="Y205" s="259"/>
      <c r="Z205" s="259"/>
      <c r="AA205" s="259"/>
      <c r="AB205" s="259"/>
      <c r="AC205" s="259"/>
      <c r="AD205" s="259"/>
      <c r="AE205" s="259"/>
      <c r="AF205" s="259"/>
      <c r="AG205" s="259"/>
      <c r="AH205" s="259"/>
      <c r="AI205" s="259"/>
      <c r="AJ205" s="259"/>
      <c r="AK205" s="259"/>
      <c r="AL205" s="259"/>
      <c r="AM205" s="259"/>
      <c r="AN205" s="259"/>
      <c r="AO205" s="259"/>
      <c r="AP205" s="259"/>
      <c r="AQ205" s="259"/>
      <c r="AR205" s="259"/>
      <c r="AS205" s="259"/>
      <c r="AT205" s="259"/>
      <c r="AU205" s="259"/>
      <c r="AV205" s="259"/>
      <c r="AW205" s="259"/>
    </row>
    <row r="206" spans="1:49" ht="12">
      <c r="A206" s="284" t="s">
        <v>181</v>
      </c>
      <c r="B206" s="220"/>
      <c r="C206" s="285">
        <f>C204</f>
        <v>0</v>
      </c>
      <c r="D206" s="285">
        <f>D204</f>
        <v>0</v>
      </c>
      <c r="E206" s="184">
        <f aca="true" t="shared" si="152" ref="E206:E217">C206+D206</f>
        <v>0</v>
      </c>
      <c r="F206" s="285">
        <f>F204</f>
        <v>538.3</v>
      </c>
      <c r="G206" s="184">
        <f aca="true" t="shared" si="153" ref="G206:G217">SUM(E206:F206)</f>
        <v>538.3</v>
      </c>
      <c r="H206" s="285">
        <f>H204</f>
        <v>0</v>
      </c>
      <c r="I206" s="310">
        <f>I204</f>
        <v>18</v>
      </c>
      <c r="J206" s="310">
        <f>J204</f>
        <v>18</v>
      </c>
      <c r="K206" s="259"/>
      <c r="L206" s="259"/>
      <c r="M206" s="259"/>
      <c r="N206" s="20"/>
      <c r="O206" s="184">
        <f>G206/I206*J206</f>
        <v>538.3</v>
      </c>
      <c r="P206" s="184">
        <f>E206*0.18/I206*J206</f>
        <v>0</v>
      </c>
      <c r="Q206" s="184">
        <f>H206/I206*J206</f>
        <v>0</v>
      </c>
      <c r="R206" s="297"/>
      <c r="S206" s="20"/>
      <c r="T206" s="259"/>
      <c r="U206" s="259"/>
      <c r="V206" s="259"/>
      <c r="W206" s="259"/>
      <c r="X206" s="259"/>
      <c r="Y206" s="259"/>
      <c r="Z206" s="259"/>
      <c r="AA206" s="259"/>
      <c r="AB206" s="259"/>
      <c r="AC206" s="259"/>
      <c r="AD206" s="259"/>
      <c r="AE206" s="259"/>
      <c r="AF206" s="259"/>
      <c r="AG206" s="259"/>
      <c r="AH206" s="259"/>
      <c r="AI206" s="259"/>
      <c r="AJ206" s="259"/>
      <c r="AK206" s="259"/>
      <c r="AL206" s="259"/>
      <c r="AM206" s="259"/>
      <c r="AN206" s="259"/>
      <c r="AO206" s="259"/>
      <c r="AP206" s="259"/>
      <c r="AQ206" s="259"/>
      <c r="AR206" s="259"/>
      <c r="AS206" s="259"/>
      <c r="AT206" s="259"/>
      <c r="AU206" s="259"/>
      <c r="AV206" s="259"/>
      <c r="AW206" s="259"/>
    </row>
    <row r="207" spans="1:49" ht="15">
      <c r="A207" s="284" t="s">
        <v>182</v>
      </c>
      <c r="B207" s="220"/>
      <c r="C207" s="285">
        <f aca="true" t="shared" si="154" ref="C207:D217">C206</f>
        <v>0</v>
      </c>
      <c r="D207" s="285">
        <f t="shared" si="154"/>
        <v>0</v>
      </c>
      <c r="E207" s="184">
        <f t="shared" si="152"/>
        <v>0</v>
      </c>
      <c r="F207" s="285">
        <f aca="true" t="shared" si="155" ref="F207:F217">F206</f>
        <v>538.3</v>
      </c>
      <c r="G207" s="184">
        <f t="shared" si="153"/>
        <v>538.3</v>
      </c>
      <c r="H207" s="285">
        <f aca="true" t="shared" si="156" ref="H207:H217">H206</f>
        <v>0</v>
      </c>
      <c r="I207" s="310">
        <f aca="true" t="shared" si="157" ref="I207:I217">I206</f>
        <v>18</v>
      </c>
      <c r="J207" s="310">
        <f aca="true" t="shared" si="158" ref="J207:J217">J206</f>
        <v>18</v>
      </c>
      <c r="K207" s="259"/>
      <c r="L207" s="259"/>
      <c r="M207" s="259"/>
      <c r="N207" s="264"/>
      <c r="O207" s="184">
        <f aca="true" t="shared" si="159" ref="O207:O217">G207/I207*J207</f>
        <v>538.3</v>
      </c>
      <c r="P207" s="184">
        <f aca="true" t="shared" si="160" ref="P207:P217">E207*0.18/I207*J207</f>
        <v>0</v>
      </c>
      <c r="Q207" s="184">
        <f aca="true" t="shared" si="161" ref="Q207:Q217">H207/I207*J207</f>
        <v>0</v>
      </c>
      <c r="R207" s="297"/>
      <c r="S207" s="264"/>
      <c r="T207" s="259"/>
      <c r="U207" s="259"/>
      <c r="V207" s="259"/>
      <c r="W207" s="259"/>
      <c r="X207" s="259"/>
      <c r="Y207" s="259"/>
      <c r="Z207" s="259"/>
      <c r="AA207" s="259"/>
      <c r="AB207" s="259"/>
      <c r="AC207" s="259"/>
      <c r="AD207" s="259"/>
      <c r="AE207" s="259"/>
      <c r="AF207" s="259"/>
      <c r="AG207" s="259"/>
      <c r="AH207" s="259"/>
      <c r="AI207" s="259"/>
      <c r="AJ207" s="259"/>
      <c r="AK207" s="259"/>
      <c r="AL207" s="259"/>
      <c r="AM207" s="259"/>
      <c r="AN207" s="259"/>
      <c r="AO207" s="259"/>
      <c r="AP207" s="259"/>
      <c r="AQ207" s="259"/>
      <c r="AR207" s="259"/>
      <c r="AS207" s="259"/>
      <c r="AT207" s="259"/>
      <c r="AU207" s="259"/>
      <c r="AV207" s="259"/>
      <c r="AW207" s="259"/>
    </row>
    <row r="208" spans="1:49" ht="12">
      <c r="A208" s="284" t="s">
        <v>183</v>
      </c>
      <c r="B208" s="220"/>
      <c r="C208" s="285">
        <f t="shared" si="154"/>
        <v>0</v>
      </c>
      <c r="D208" s="285">
        <f t="shared" si="154"/>
        <v>0</v>
      </c>
      <c r="E208" s="184">
        <f t="shared" si="152"/>
        <v>0</v>
      </c>
      <c r="F208" s="285">
        <f t="shared" si="155"/>
        <v>538.3</v>
      </c>
      <c r="G208" s="184">
        <f t="shared" si="153"/>
        <v>538.3</v>
      </c>
      <c r="H208" s="285">
        <f t="shared" si="156"/>
        <v>0</v>
      </c>
      <c r="I208" s="310">
        <f t="shared" si="157"/>
        <v>18</v>
      </c>
      <c r="J208" s="310">
        <f t="shared" si="158"/>
        <v>18</v>
      </c>
      <c r="K208" s="259"/>
      <c r="L208" s="259"/>
      <c r="M208" s="259"/>
      <c r="N208" s="20"/>
      <c r="O208" s="184">
        <f t="shared" si="159"/>
        <v>538.3</v>
      </c>
      <c r="P208" s="184">
        <f t="shared" si="160"/>
        <v>0</v>
      </c>
      <c r="Q208" s="184">
        <f t="shared" si="161"/>
        <v>0</v>
      </c>
      <c r="R208" s="297"/>
      <c r="S208" s="20"/>
      <c r="T208" s="259"/>
      <c r="U208" s="259"/>
      <c r="V208" s="259"/>
      <c r="W208" s="259"/>
      <c r="X208" s="259"/>
      <c r="Y208" s="259"/>
      <c r="Z208" s="259"/>
      <c r="AA208" s="259"/>
      <c r="AB208" s="259"/>
      <c r="AC208" s="259"/>
      <c r="AD208" s="259"/>
      <c r="AE208" s="259"/>
      <c r="AF208" s="259"/>
      <c r="AG208" s="259"/>
      <c r="AH208" s="259"/>
      <c r="AI208" s="259"/>
      <c r="AJ208" s="259"/>
      <c r="AK208" s="259"/>
      <c r="AL208" s="259"/>
      <c r="AM208" s="259"/>
      <c r="AN208" s="259"/>
      <c r="AO208" s="259"/>
      <c r="AP208" s="259"/>
      <c r="AQ208" s="259"/>
      <c r="AR208" s="259"/>
      <c r="AS208" s="259"/>
      <c r="AT208" s="259"/>
      <c r="AU208" s="259"/>
      <c r="AV208" s="259"/>
      <c r="AW208" s="259"/>
    </row>
    <row r="209" spans="1:49" ht="15">
      <c r="A209" s="284" t="s">
        <v>184</v>
      </c>
      <c r="B209" s="220"/>
      <c r="C209" s="285">
        <f t="shared" si="154"/>
        <v>0</v>
      </c>
      <c r="D209" s="285">
        <f t="shared" si="154"/>
        <v>0</v>
      </c>
      <c r="E209" s="184">
        <f t="shared" si="152"/>
        <v>0</v>
      </c>
      <c r="F209" s="285">
        <f t="shared" si="155"/>
        <v>538.3</v>
      </c>
      <c r="G209" s="184">
        <f t="shared" si="153"/>
        <v>538.3</v>
      </c>
      <c r="H209" s="285">
        <f t="shared" si="156"/>
        <v>0</v>
      </c>
      <c r="I209" s="310">
        <f t="shared" si="157"/>
        <v>18</v>
      </c>
      <c r="J209" s="310">
        <f t="shared" si="158"/>
        <v>18</v>
      </c>
      <c r="K209" s="259"/>
      <c r="L209" s="259"/>
      <c r="M209" s="259"/>
      <c r="N209" s="264"/>
      <c r="O209" s="184">
        <f t="shared" si="159"/>
        <v>538.3</v>
      </c>
      <c r="P209" s="184">
        <f t="shared" si="160"/>
        <v>0</v>
      </c>
      <c r="Q209" s="184">
        <f t="shared" si="161"/>
        <v>0</v>
      </c>
      <c r="R209" s="297"/>
      <c r="S209" s="264"/>
      <c r="T209" s="259"/>
      <c r="U209" s="259"/>
      <c r="V209" s="259"/>
      <c r="W209" s="259"/>
      <c r="X209" s="259"/>
      <c r="Y209" s="259"/>
      <c r="Z209" s="259"/>
      <c r="AA209" s="259"/>
      <c r="AB209" s="259"/>
      <c r="AC209" s="259"/>
      <c r="AD209" s="259"/>
      <c r="AE209" s="259"/>
      <c r="AF209" s="259"/>
      <c r="AG209" s="259"/>
      <c r="AH209" s="259"/>
      <c r="AI209" s="259"/>
      <c r="AJ209" s="259"/>
      <c r="AK209" s="259"/>
      <c r="AL209" s="259"/>
      <c r="AM209" s="259"/>
      <c r="AN209" s="259"/>
      <c r="AO209" s="259"/>
      <c r="AP209" s="259"/>
      <c r="AQ209" s="259"/>
      <c r="AR209" s="259"/>
      <c r="AS209" s="259"/>
      <c r="AT209" s="259"/>
      <c r="AU209" s="259"/>
      <c r="AV209" s="259"/>
      <c r="AW209" s="259"/>
    </row>
    <row r="210" spans="1:49" ht="12">
      <c r="A210" s="284" t="s">
        <v>185</v>
      </c>
      <c r="B210" s="220"/>
      <c r="C210" s="285">
        <f t="shared" si="154"/>
        <v>0</v>
      </c>
      <c r="D210" s="285">
        <f t="shared" si="154"/>
        <v>0</v>
      </c>
      <c r="E210" s="184">
        <f t="shared" si="152"/>
        <v>0</v>
      </c>
      <c r="F210" s="285">
        <f t="shared" si="155"/>
        <v>538.3</v>
      </c>
      <c r="G210" s="184">
        <f t="shared" si="153"/>
        <v>538.3</v>
      </c>
      <c r="H210" s="285">
        <f t="shared" si="156"/>
        <v>0</v>
      </c>
      <c r="I210" s="310">
        <f t="shared" si="157"/>
        <v>18</v>
      </c>
      <c r="J210" s="310">
        <f t="shared" si="158"/>
        <v>18</v>
      </c>
      <c r="K210" s="259"/>
      <c r="L210" s="259"/>
      <c r="M210" s="259"/>
      <c r="N210" s="20"/>
      <c r="O210" s="184">
        <f t="shared" si="159"/>
        <v>538.3</v>
      </c>
      <c r="P210" s="184">
        <f t="shared" si="160"/>
        <v>0</v>
      </c>
      <c r="Q210" s="184">
        <f t="shared" si="161"/>
        <v>0</v>
      </c>
      <c r="R210" s="297"/>
      <c r="S210" s="20"/>
      <c r="T210" s="259"/>
      <c r="U210" s="259"/>
      <c r="V210" s="259"/>
      <c r="W210" s="259"/>
      <c r="X210" s="259"/>
      <c r="Y210" s="259"/>
      <c r="Z210" s="259"/>
      <c r="AA210" s="259"/>
      <c r="AB210" s="259"/>
      <c r="AC210" s="259"/>
      <c r="AD210" s="259"/>
      <c r="AE210" s="259"/>
      <c r="AF210" s="259"/>
      <c r="AG210" s="259"/>
      <c r="AH210" s="259"/>
      <c r="AI210" s="259"/>
      <c r="AJ210" s="259"/>
      <c r="AK210" s="259"/>
      <c r="AL210" s="259"/>
      <c r="AM210" s="259"/>
      <c r="AN210" s="259"/>
      <c r="AO210" s="259"/>
      <c r="AP210" s="259"/>
      <c r="AQ210" s="259"/>
      <c r="AR210" s="259"/>
      <c r="AS210" s="259"/>
      <c r="AT210" s="259"/>
      <c r="AU210" s="259"/>
      <c r="AV210" s="259"/>
      <c r="AW210" s="259"/>
    </row>
    <row r="211" spans="1:49" ht="15">
      <c r="A211" s="284" t="s">
        <v>186</v>
      </c>
      <c r="B211" s="220"/>
      <c r="C211" s="285">
        <f t="shared" si="154"/>
        <v>0</v>
      </c>
      <c r="D211" s="285">
        <f t="shared" si="154"/>
        <v>0</v>
      </c>
      <c r="E211" s="184">
        <f t="shared" si="152"/>
        <v>0</v>
      </c>
      <c r="F211" s="285">
        <f t="shared" si="155"/>
        <v>538.3</v>
      </c>
      <c r="G211" s="184">
        <f t="shared" si="153"/>
        <v>538.3</v>
      </c>
      <c r="H211" s="285">
        <f t="shared" si="156"/>
        <v>0</v>
      </c>
      <c r="I211" s="310">
        <f t="shared" si="157"/>
        <v>18</v>
      </c>
      <c r="J211" s="310">
        <f t="shared" si="158"/>
        <v>18</v>
      </c>
      <c r="K211" s="259"/>
      <c r="L211" s="259"/>
      <c r="M211" s="259"/>
      <c r="N211" s="264"/>
      <c r="O211" s="184">
        <f t="shared" si="159"/>
        <v>538.3</v>
      </c>
      <c r="P211" s="184">
        <f t="shared" si="160"/>
        <v>0</v>
      </c>
      <c r="Q211" s="184">
        <f t="shared" si="161"/>
        <v>0</v>
      </c>
      <c r="R211" s="297"/>
      <c r="S211" s="264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  <c r="AD211" s="259"/>
      <c r="AE211" s="259"/>
      <c r="AF211" s="259"/>
      <c r="AG211" s="259"/>
      <c r="AH211" s="259"/>
      <c r="AI211" s="259"/>
      <c r="AJ211" s="259"/>
      <c r="AK211" s="259"/>
      <c r="AL211" s="259"/>
      <c r="AM211" s="259"/>
      <c r="AN211" s="259"/>
      <c r="AO211" s="259"/>
      <c r="AP211" s="259"/>
      <c r="AQ211" s="259"/>
      <c r="AR211" s="259"/>
      <c r="AS211" s="259"/>
      <c r="AT211" s="259"/>
      <c r="AU211" s="259"/>
      <c r="AV211" s="259"/>
      <c r="AW211" s="259"/>
    </row>
    <row r="212" spans="1:49" ht="12">
      <c r="A212" s="284" t="s">
        <v>187</v>
      </c>
      <c r="B212" s="220"/>
      <c r="C212" s="285">
        <f t="shared" si="154"/>
        <v>0</v>
      </c>
      <c r="D212" s="285">
        <f t="shared" si="154"/>
        <v>0</v>
      </c>
      <c r="E212" s="184">
        <f t="shared" si="152"/>
        <v>0</v>
      </c>
      <c r="F212" s="285">
        <f t="shared" si="155"/>
        <v>538.3</v>
      </c>
      <c r="G212" s="184">
        <f t="shared" si="153"/>
        <v>538.3</v>
      </c>
      <c r="H212" s="285">
        <f t="shared" si="156"/>
        <v>0</v>
      </c>
      <c r="I212" s="310">
        <f t="shared" si="157"/>
        <v>18</v>
      </c>
      <c r="J212" s="310">
        <f t="shared" si="158"/>
        <v>18</v>
      </c>
      <c r="K212" s="259"/>
      <c r="L212" s="259"/>
      <c r="M212" s="259"/>
      <c r="N212" s="20"/>
      <c r="O212" s="184">
        <f t="shared" si="159"/>
        <v>538.3</v>
      </c>
      <c r="P212" s="184">
        <f t="shared" si="160"/>
        <v>0</v>
      </c>
      <c r="Q212" s="184">
        <f t="shared" si="161"/>
        <v>0</v>
      </c>
      <c r="R212" s="297"/>
      <c r="S212" s="20"/>
      <c r="T212" s="259"/>
      <c r="U212" s="259"/>
      <c r="V212" s="259"/>
      <c r="W212" s="259"/>
      <c r="X212" s="259"/>
      <c r="Y212" s="259"/>
      <c r="Z212" s="259"/>
      <c r="AA212" s="259"/>
      <c r="AB212" s="259"/>
      <c r="AC212" s="259"/>
      <c r="AD212" s="259"/>
      <c r="AE212" s="259"/>
      <c r="AF212" s="259"/>
      <c r="AG212" s="259"/>
      <c r="AH212" s="259"/>
      <c r="AI212" s="259"/>
      <c r="AJ212" s="259"/>
      <c r="AK212" s="259"/>
      <c r="AL212" s="259"/>
      <c r="AM212" s="259"/>
      <c r="AN212" s="259"/>
      <c r="AO212" s="259"/>
      <c r="AP212" s="259"/>
      <c r="AQ212" s="259"/>
      <c r="AR212" s="259"/>
      <c r="AS212" s="259"/>
      <c r="AT212" s="259"/>
      <c r="AU212" s="259"/>
      <c r="AV212" s="259"/>
      <c r="AW212" s="259"/>
    </row>
    <row r="213" spans="1:49" ht="15">
      <c r="A213" s="284" t="s">
        <v>188</v>
      </c>
      <c r="B213" s="220"/>
      <c r="C213" s="285">
        <f t="shared" si="154"/>
        <v>0</v>
      </c>
      <c r="D213" s="285">
        <f t="shared" si="154"/>
        <v>0</v>
      </c>
      <c r="E213" s="184">
        <f t="shared" si="152"/>
        <v>0</v>
      </c>
      <c r="F213" s="285">
        <f t="shared" si="155"/>
        <v>538.3</v>
      </c>
      <c r="G213" s="184">
        <f t="shared" si="153"/>
        <v>538.3</v>
      </c>
      <c r="H213" s="285">
        <f t="shared" si="156"/>
        <v>0</v>
      </c>
      <c r="I213" s="310">
        <f t="shared" si="157"/>
        <v>18</v>
      </c>
      <c r="J213" s="310">
        <f t="shared" si="158"/>
        <v>18</v>
      </c>
      <c r="K213" s="259"/>
      <c r="L213" s="259"/>
      <c r="M213" s="259"/>
      <c r="N213" s="264"/>
      <c r="O213" s="184">
        <f t="shared" si="159"/>
        <v>538.3</v>
      </c>
      <c r="P213" s="184">
        <f t="shared" si="160"/>
        <v>0</v>
      </c>
      <c r="Q213" s="184">
        <f t="shared" si="161"/>
        <v>0</v>
      </c>
      <c r="R213" s="297"/>
      <c r="S213" s="264"/>
      <c r="T213" s="259"/>
      <c r="U213" s="259"/>
      <c r="V213" s="259"/>
      <c r="W213" s="259"/>
      <c r="X213" s="259"/>
      <c r="Y213" s="259"/>
      <c r="Z213" s="259"/>
      <c r="AA213" s="259"/>
      <c r="AB213" s="259"/>
      <c r="AC213" s="259"/>
      <c r="AD213" s="259"/>
      <c r="AE213" s="259"/>
      <c r="AF213" s="259"/>
      <c r="AG213" s="259"/>
      <c r="AH213" s="259"/>
      <c r="AI213" s="259"/>
      <c r="AJ213" s="259"/>
      <c r="AK213" s="259"/>
      <c r="AL213" s="259"/>
      <c r="AM213" s="259"/>
      <c r="AN213" s="259"/>
      <c r="AO213" s="259"/>
      <c r="AP213" s="259"/>
      <c r="AQ213" s="259"/>
      <c r="AR213" s="259"/>
      <c r="AS213" s="259"/>
      <c r="AT213" s="259"/>
      <c r="AU213" s="259"/>
      <c r="AV213" s="259"/>
      <c r="AW213" s="259"/>
    </row>
    <row r="214" spans="1:49" ht="12">
      <c r="A214" s="284" t="s">
        <v>189</v>
      </c>
      <c r="B214" s="220"/>
      <c r="C214" s="285">
        <f t="shared" si="154"/>
        <v>0</v>
      </c>
      <c r="D214" s="285">
        <f t="shared" si="154"/>
        <v>0</v>
      </c>
      <c r="E214" s="184">
        <f t="shared" si="152"/>
        <v>0</v>
      </c>
      <c r="F214" s="285">
        <f t="shared" si="155"/>
        <v>538.3</v>
      </c>
      <c r="G214" s="184">
        <f t="shared" si="153"/>
        <v>538.3</v>
      </c>
      <c r="H214" s="285">
        <f t="shared" si="156"/>
        <v>0</v>
      </c>
      <c r="I214" s="310">
        <f t="shared" si="157"/>
        <v>18</v>
      </c>
      <c r="J214" s="310">
        <f t="shared" si="158"/>
        <v>18</v>
      </c>
      <c r="K214" s="259"/>
      <c r="L214" s="259"/>
      <c r="M214" s="259"/>
      <c r="N214" s="20"/>
      <c r="O214" s="184">
        <f t="shared" si="159"/>
        <v>538.3</v>
      </c>
      <c r="P214" s="184">
        <f t="shared" si="160"/>
        <v>0</v>
      </c>
      <c r="Q214" s="184">
        <f t="shared" si="161"/>
        <v>0</v>
      </c>
      <c r="R214" s="297"/>
      <c r="S214" s="20"/>
      <c r="T214" s="259"/>
      <c r="U214" s="259"/>
      <c r="V214" s="259"/>
      <c r="W214" s="259"/>
      <c r="X214" s="259"/>
      <c r="Y214" s="259"/>
      <c r="Z214" s="259"/>
      <c r="AA214" s="259"/>
      <c r="AB214" s="259"/>
      <c r="AC214" s="259"/>
      <c r="AD214" s="259"/>
      <c r="AE214" s="259"/>
      <c r="AF214" s="259"/>
      <c r="AG214" s="259"/>
      <c r="AH214" s="259"/>
      <c r="AI214" s="259"/>
      <c r="AJ214" s="259"/>
      <c r="AK214" s="259"/>
      <c r="AL214" s="259"/>
      <c r="AM214" s="259"/>
      <c r="AN214" s="259"/>
      <c r="AO214" s="259"/>
      <c r="AP214" s="259"/>
      <c r="AQ214" s="259"/>
      <c r="AR214" s="259"/>
      <c r="AS214" s="259"/>
      <c r="AT214" s="259"/>
      <c r="AU214" s="259"/>
      <c r="AV214" s="259"/>
      <c r="AW214" s="259"/>
    </row>
    <row r="215" spans="1:49" ht="15">
      <c r="A215" s="284" t="s">
        <v>190</v>
      </c>
      <c r="B215" s="220"/>
      <c r="C215" s="285">
        <f t="shared" si="154"/>
        <v>0</v>
      </c>
      <c r="D215" s="285">
        <f t="shared" si="154"/>
        <v>0</v>
      </c>
      <c r="E215" s="184">
        <f t="shared" si="152"/>
        <v>0</v>
      </c>
      <c r="F215" s="285">
        <f t="shared" si="155"/>
        <v>538.3</v>
      </c>
      <c r="G215" s="184">
        <f t="shared" si="153"/>
        <v>538.3</v>
      </c>
      <c r="H215" s="285">
        <f t="shared" si="156"/>
        <v>0</v>
      </c>
      <c r="I215" s="310">
        <f t="shared" si="157"/>
        <v>18</v>
      </c>
      <c r="J215" s="310">
        <f t="shared" si="158"/>
        <v>18</v>
      </c>
      <c r="K215" s="259"/>
      <c r="L215" s="259"/>
      <c r="M215" s="259"/>
      <c r="N215" s="264"/>
      <c r="O215" s="184">
        <f t="shared" si="159"/>
        <v>538.3</v>
      </c>
      <c r="P215" s="184">
        <f t="shared" si="160"/>
        <v>0</v>
      </c>
      <c r="Q215" s="184">
        <f t="shared" si="161"/>
        <v>0</v>
      </c>
      <c r="R215" s="297"/>
      <c r="S215" s="264"/>
      <c r="T215" s="259"/>
      <c r="U215" s="259"/>
      <c r="V215" s="259"/>
      <c r="W215" s="259"/>
      <c r="X215" s="259"/>
      <c r="Y215" s="259"/>
      <c r="Z215" s="259"/>
      <c r="AA215" s="259"/>
      <c r="AB215" s="259"/>
      <c r="AC215" s="259"/>
      <c r="AD215" s="259"/>
      <c r="AE215" s="259"/>
      <c r="AF215" s="259"/>
      <c r="AG215" s="259"/>
      <c r="AH215" s="259"/>
      <c r="AI215" s="259"/>
      <c r="AJ215" s="259"/>
      <c r="AK215" s="259"/>
      <c r="AL215" s="259"/>
      <c r="AM215" s="259"/>
      <c r="AN215" s="259"/>
      <c r="AO215" s="259"/>
      <c r="AP215" s="259"/>
      <c r="AQ215" s="259"/>
      <c r="AR215" s="259"/>
      <c r="AS215" s="259"/>
      <c r="AT215" s="259"/>
      <c r="AU215" s="259"/>
      <c r="AV215" s="259"/>
      <c r="AW215" s="259"/>
    </row>
    <row r="216" spans="1:49" ht="12">
      <c r="A216" s="284" t="s">
        <v>191</v>
      </c>
      <c r="B216" s="220"/>
      <c r="C216" s="285">
        <f t="shared" si="154"/>
        <v>0</v>
      </c>
      <c r="D216" s="285">
        <f t="shared" si="154"/>
        <v>0</v>
      </c>
      <c r="E216" s="184">
        <f t="shared" si="152"/>
        <v>0</v>
      </c>
      <c r="F216" s="285">
        <f t="shared" si="155"/>
        <v>538.3</v>
      </c>
      <c r="G216" s="184">
        <f t="shared" si="153"/>
        <v>538.3</v>
      </c>
      <c r="H216" s="285">
        <f t="shared" si="156"/>
        <v>0</v>
      </c>
      <c r="I216" s="310">
        <f t="shared" si="157"/>
        <v>18</v>
      </c>
      <c r="J216" s="310">
        <f t="shared" si="158"/>
        <v>18</v>
      </c>
      <c r="K216" s="259"/>
      <c r="L216" s="259"/>
      <c r="M216" s="259"/>
      <c r="N216" s="20"/>
      <c r="O216" s="184">
        <f t="shared" si="159"/>
        <v>538.3</v>
      </c>
      <c r="P216" s="184">
        <f t="shared" si="160"/>
        <v>0</v>
      </c>
      <c r="Q216" s="184">
        <f t="shared" si="161"/>
        <v>0</v>
      </c>
      <c r="R216" s="297"/>
      <c r="S216" s="20"/>
      <c r="T216" s="259"/>
      <c r="U216" s="259"/>
      <c r="V216" s="259"/>
      <c r="W216" s="259"/>
      <c r="X216" s="259"/>
      <c r="Y216" s="259"/>
      <c r="Z216" s="259"/>
      <c r="AA216" s="259"/>
      <c r="AB216" s="259"/>
      <c r="AC216" s="259"/>
      <c r="AD216" s="259"/>
      <c r="AE216" s="259"/>
      <c r="AF216" s="259"/>
      <c r="AG216" s="259"/>
      <c r="AH216" s="259"/>
      <c r="AI216" s="259"/>
      <c r="AJ216" s="259"/>
      <c r="AK216" s="259"/>
      <c r="AL216" s="259"/>
      <c r="AM216" s="259"/>
      <c r="AN216" s="259"/>
      <c r="AO216" s="259"/>
      <c r="AP216" s="259"/>
      <c r="AQ216" s="259"/>
      <c r="AR216" s="259"/>
      <c r="AS216" s="259"/>
      <c r="AT216" s="259"/>
      <c r="AU216" s="259"/>
      <c r="AV216" s="259"/>
      <c r="AW216" s="259"/>
    </row>
    <row r="217" spans="1:49" ht="15">
      <c r="A217" s="284" t="s">
        <v>192</v>
      </c>
      <c r="B217" s="220"/>
      <c r="C217" s="285">
        <f t="shared" si="154"/>
        <v>0</v>
      </c>
      <c r="D217" s="285">
        <f t="shared" si="154"/>
        <v>0</v>
      </c>
      <c r="E217" s="184">
        <f t="shared" si="152"/>
        <v>0</v>
      </c>
      <c r="F217" s="285">
        <f t="shared" si="155"/>
        <v>538.3</v>
      </c>
      <c r="G217" s="184">
        <f t="shared" si="153"/>
        <v>538.3</v>
      </c>
      <c r="H217" s="285">
        <f t="shared" si="156"/>
        <v>0</v>
      </c>
      <c r="I217" s="310">
        <f t="shared" si="157"/>
        <v>18</v>
      </c>
      <c r="J217" s="310">
        <f t="shared" si="158"/>
        <v>18</v>
      </c>
      <c r="K217" s="259"/>
      <c r="L217" s="259"/>
      <c r="M217" s="259"/>
      <c r="N217" s="264"/>
      <c r="O217" s="184">
        <f t="shared" si="159"/>
        <v>538.3</v>
      </c>
      <c r="P217" s="184">
        <f t="shared" si="160"/>
        <v>0</v>
      </c>
      <c r="Q217" s="184">
        <f t="shared" si="161"/>
        <v>0</v>
      </c>
      <c r="R217" s="297"/>
      <c r="S217" s="264"/>
      <c r="T217" s="259"/>
      <c r="U217" s="259"/>
      <c r="V217" s="259"/>
      <c r="W217" s="259"/>
      <c r="X217" s="259"/>
      <c r="Y217" s="259"/>
      <c r="Z217" s="259"/>
      <c r="AA217" s="259"/>
      <c r="AB217" s="259"/>
      <c r="AC217" s="259"/>
      <c r="AD217" s="259"/>
      <c r="AE217" s="259"/>
      <c r="AF217" s="259"/>
      <c r="AG217" s="259"/>
      <c r="AH217" s="259"/>
      <c r="AI217" s="259"/>
      <c r="AJ217" s="259"/>
      <c r="AK217" s="259"/>
      <c r="AL217" s="259"/>
      <c r="AM217" s="259"/>
      <c r="AN217" s="259"/>
      <c r="AO217" s="259"/>
      <c r="AP217" s="259"/>
      <c r="AQ217" s="259"/>
      <c r="AR217" s="259"/>
      <c r="AS217" s="259"/>
      <c r="AT217" s="259"/>
      <c r="AU217" s="259"/>
      <c r="AV217" s="259"/>
      <c r="AW217" s="259"/>
    </row>
    <row r="218" spans="1:49" ht="12.75">
      <c r="A218" s="282">
        <f>A205+1</f>
        <v>2009</v>
      </c>
      <c r="B218" s="28"/>
      <c r="C218" s="28"/>
      <c r="D218" s="28"/>
      <c r="E218" s="306">
        <f>SUM(E219:E230)</f>
        <v>0</v>
      </c>
      <c r="F218" s="287"/>
      <c r="G218" s="283">
        <f>SUM(G219:G230)</f>
        <v>6459.600000000001</v>
      </c>
      <c r="H218" s="309">
        <f>SUM(H219:H230)</f>
        <v>0</v>
      </c>
      <c r="I218" s="311">
        <f>SUM(I219:I230)</f>
        <v>216</v>
      </c>
      <c r="J218" s="311">
        <f>SUM(J219:J230)</f>
        <v>216</v>
      </c>
      <c r="K218" s="259"/>
      <c r="L218" s="259"/>
      <c r="M218" s="259"/>
      <c r="N218" s="20"/>
      <c r="O218" s="136">
        <f>SUM(O219:O230)</f>
        <v>6459.600000000001</v>
      </c>
      <c r="P218" s="136">
        <f>SUM(P219:P230)</f>
        <v>0</v>
      </c>
      <c r="Q218" s="136">
        <f>SUM(Q219:Q230)</f>
        <v>0</v>
      </c>
      <c r="R218" s="136">
        <f>J218/I218</f>
        <v>1</v>
      </c>
      <c r="S218" s="20"/>
      <c r="T218" s="259"/>
      <c r="U218" s="259"/>
      <c r="V218" s="259"/>
      <c r="W218" s="259"/>
      <c r="X218" s="259"/>
      <c r="Y218" s="259"/>
      <c r="Z218" s="259"/>
      <c r="AA218" s="259"/>
      <c r="AB218" s="259"/>
      <c r="AC218" s="259"/>
      <c r="AD218" s="259"/>
      <c r="AE218" s="259"/>
      <c r="AF218" s="259"/>
      <c r="AG218" s="259"/>
      <c r="AH218" s="259"/>
      <c r="AI218" s="259"/>
      <c r="AJ218" s="259"/>
      <c r="AK218" s="259"/>
      <c r="AL218" s="259"/>
      <c r="AM218" s="259"/>
      <c r="AN218" s="259"/>
      <c r="AO218" s="259"/>
      <c r="AP218" s="259"/>
      <c r="AQ218" s="259"/>
      <c r="AR218" s="259"/>
      <c r="AS218" s="259"/>
      <c r="AT218" s="259"/>
      <c r="AU218" s="259"/>
      <c r="AV218" s="259"/>
      <c r="AW218" s="259"/>
    </row>
    <row r="219" spans="1:49" ht="15">
      <c r="A219" s="284" t="s">
        <v>181</v>
      </c>
      <c r="B219" s="220"/>
      <c r="C219" s="285">
        <f>C217</f>
        <v>0</v>
      </c>
      <c r="D219" s="285">
        <f>D217</f>
        <v>0</v>
      </c>
      <c r="E219" s="184">
        <f aca="true" t="shared" si="162" ref="E219:E230">C219+D219</f>
        <v>0</v>
      </c>
      <c r="F219" s="285">
        <f>F217</f>
        <v>538.3</v>
      </c>
      <c r="G219" s="184">
        <f aca="true" t="shared" si="163" ref="G219:G230">SUM(E219:F219)</f>
        <v>538.3</v>
      </c>
      <c r="H219" s="285">
        <f>H217</f>
        <v>0</v>
      </c>
      <c r="I219" s="310">
        <f>I217</f>
        <v>18</v>
      </c>
      <c r="J219" s="310">
        <f>J217</f>
        <v>18</v>
      </c>
      <c r="K219" s="259"/>
      <c r="L219" s="259"/>
      <c r="M219" s="259"/>
      <c r="N219" s="264"/>
      <c r="O219" s="184">
        <f>G219/I219*J219</f>
        <v>538.3</v>
      </c>
      <c r="P219" s="184">
        <f>E219*0.18/I219*J219</f>
        <v>0</v>
      </c>
      <c r="Q219" s="184">
        <f>H219/I219*J219</f>
        <v>0</v>
      </c>
      <c r="R219" s="297"/>
      <c r="S219" s="264"/>
      <c r="T219" s="259"/>
      <c r="U219" s="259"/>
      <c r="V219" s="259"/>
      <c r="W219" s="259"/>
      <c r="X219" s="259"/>
      <c r="Y219" s="259"/>
      <c r="Z219" s="259"/>
      <c r="AA219" s="259"/>
      <c r="AB219" s="259"/>
      <c r="AC219" s="259"/>
      <c r="AD219" s="259"/>
      <c r="AE219" s="259"/>
      <c r="AF219" s="259"/>
      <c r="AG219" s="259"/>
      <c r="AH219" s="259"/>
      <c r="AI219" s="259"/>
      <c r="AJ219" s="259"/>
      <c r="AK219" s="259"/>
      <c r="AL219" s="259"/>
      <c r="AM219" s="259"/>
      <c r="AN219" s="259"/>
      <c r="AO219" s="259"/>
      <c r="AP219" s="259"/>
      <c r="AQ219" s="259"/>
      <c r="AR219" s="259"/>
      <c r="AS219" s="259"/>
      <c r="AT219" s="259"/>
      <c r="AU219" s="259"/>
      <c r="AV219" s="259"/>
      <c r="AW219" s="259"/>
    </row>
    <row r="220" spans="1:49" ht="12">
      <c r="A220" s="284" t="s">
        <v>182</v>
      </c>
      <c r="B220" s="220"/>
      <c r="C220" s="285">
        <f aca="true" t="shared" si="164" ref="C220:D230">C219</f>
        <v>0</v>
      </c>
      <c r="D220" s="285">
        <f t="shared" si="164"/>
        <v>0</v>
      </c>
      <c r="E220" s="184">
        <f t="shared" si="162"/>
        <v>0</v>
      </c>
      <c r="F220" s="285">
        <f aca="true" t="shared" si="165" ref="F220:F230">F219</f>
        <v>538.3</v>
      </c>
      <c r="G220" s="184">
        <f t="shared" si="163"/>
        <v>538.3</v>
      </c>
      <c r="H220" s="285">
        <f aca="true" t="shared" si="166" ref="H220:H230">H219</f>
        <v>0</v>
      </c>
      <c r="I220" s="310">
        <f aca="true" t="shared" si="167" ref="I220:I230">I219</f>
        <v>18</v>
      </c>
      <c r="J220" s="310">
        <f aca="true" t="shared" si="168" ref="J220:J230">J219</f>
        <v>18</v>
      </c>
      <c r="K220" s="259"/>
      <c r="L220" s="259"/>
      <c r="M220" s="259"/>
      <c r="N220" s="20"/>
      <c r="O220" s="184">
        <f aca="true" t="shared" si="169" ref="O220:O230">G220/I220*J220</f>
        <v>538.3</v>
      </c>
      <c r="P220" s="184">
        <f aca="true" t="shared" si="170" ref="P220:P230">E220*0.18/I220*J220</f>
        <v>0</v>
      </c>
      <c r="Q220" s="184">
        <f aca="true" t="shared" si="171" ref="Q220:Q230">H220/I220*J220</f>
        <v>0</v>
      </c>
      <c r="R220" s="297"/>
      <c r="S220" s="20"/>
      <c r="T220" s="259"/>
      <c r="U220" s="259"/>
      <c r="V220" s="259"/>
      <c r="W220" s="259"/>
      <c r="X220" s="259"/>
      <c r="Y220" s="259"/>
      <c r="Z220" s="259"/>
      <c r="AA220" s="259"/>
      <c r="AB220" s="259"/>
      <c r="AC220" s="259"/>
      <c r="AD220" s="259"/>
      <c r="AE220" s="259"/>
      <c r="AF220" s="259"/>
      <c r="AG220" s="259"/>
      <c r="AH220" s="259"/>
      <c r="AI220" s="259"/>
      <c r="AJ220" s="259"/>
      <c r="AK220" s="259"/>
      <c r="AL220" s="259"/>
      <c r="AM220" s="259"/>
      <c r="AN220" s="259"/>
      <c r="AO220" s="259"/>
      <c r="AP220" s="259"/>
      <c r="AQ220" s="259"/>
      <c r="AR220" s="259"/>
      <c r="AS220" s="259"/>
      <c r="AT220" s="259"/>
      <c r="AU220" s="259"/>
      <c r="AV220" s="259"/>
      <c r="AW220" s="259"/>
    </row>
    <row r="221" spans="1:49" ht="15">
      <c r="A221" s="284" t="s">
        <v>183</v>
      </c>
      <c r="B221" s="220"/>
      <c r="C221" s="285">
        <f t="shared" si="164"/>
        <v>0</v>
      </c>
      <c r="D221" s="285">
        <f t="shared" si="164"/>
        <v>0</v>
      </c>
      <c r="E221" s="184">
        <f t="shared" si="162"/>
        <v>0</v>
      </c>
      <c r="F221" s="285">
        <f t="shared" si="165"/>
        <v>538.3</v>
      </c>
      <c r="G221" s="184">
        <f t="shared" si="163"/>
        <v>538.3</v>
      </c>
      <c r="H221" s="285">
        <f t="shared" si="166"/>
        <v>0</v>
      </c>
      <c r="I221" s="310">
        <f t="shared" si="167"/>
        <v>18</v>
      </c>
      <c r="J221" s="310">
        <f t="shared" si="168"/>
        <v>18</v>
      </c>
      <c r="K221" s="259"/>
      <c r="L221" s="259"/>
      <c r="M221" s="259"/>
      <c r="N221" s="264"/>
      <c r="O221" s="184">
        <f t="shared" si="169"/>
        <v>538.3</v>
      </c>
      <c r="P221" s="184">
        <f t="shared" si="170"/>
        <v>0</v>
      </c>
      <c r="Q221" s="184">
        <f t="shared" si="171"/>
        <v>0</v>
      </c>
      <c r="R221" s="297"/>
      <c r="S221" s="264"/>
      <c r="T221" s="259"/>
      <c r="U221" s="259"/>
      <c r="V221" s="259"/>
      <c r="W221" s="259"/>
      <c r="X221" s="259"/>
      <c r="Y221" s="259"/>
      <c r="Z221" s="259"/>
      <c r="AA221" s="259"/>
      <c r="AB221" s="259"/>
      <c r="AC221" s="259"/>
      <c r="AD221" s="259"/>
      <c r="AE221" s="259"/>
      <c r="AF221" s="259"/>
      <c r="AG221" s="259"/>
      <c r="AH221" s="259"/>
      <c r="AI221" s="259"/>
      <c r="AJ221" s="259"/>
      <c r="AK221" s="259"/>
      <c r="AL221" s="259"/>
      <c r="AM221" s="259"/>
      <c r="AN221" s="259"/>
      <c r="AO221" s="259"/>
      <c r="AP221" s="259"/>
      <c r="AQ221" s="259"/>
      <c r="AR221" s="259"/>
      <c r="AS221" s="259"/>
      <c r="AT221" s="259"/>
      <c r="AU221" s="259"/>
      <c r="AV221" s="259"/>
      <c r="AW221" s="259"/>
    </row>
    <row r="222" spans="1:49" ht="12">
      <c r="A222" s="284" t="s">
        <v>184</v>
      </c>
      <c r="B222" s="220"/>
      <c r="C222" s="285">
        <f t="shared" si="164"/>
        <v>0</v>
      </c>
      <c r="D222" s="285">
        <f t="shared" si="164"/>
        <v>0</v>
      </c>
      <c r="E222" s="184">
        <f t="shared" si="162"/>
        <v>0</v>
      </c>
      <c r="F222" s="285">
        <f t="shared" si="165"/>
        <v>538.3</v>
      </c>
      <c r="G222" s="184">
        <f t="shared" si="163"/>
        <v>538.3</v>
      </c>
      <c r="H222" s="285">
        <f t="shared" si="166"/>
        <v>0</v>
      </c>
      <c r="I222" s="310">
        <f t="shared" si="167"/>
        <v>18</v>
      </c>
      <c r="J222" s="310">
        <f t="shared" si="168"/>
        <v>18</v>
      </c>
      <c r="K222" s="259"/>
      <c r="L222" s="259"/>
      <c r="M222" s="259"/>
      <c r="N222" s="20"/>
      <c r="O222" s="184">
        <f t="shared" si="169"/>
        <v>538.3</v>
      </c>
      <c r="P222" s="184">
        <f t="shared" si="170"/>
        <v>0</v>
      </c>
      <c r="Q222" s="184">
        <f t="shared" si="171"/>
        <v>0</v>
      </c>
      <c r="R222" s="297"/>
      <c r="S222" s="20"/>
      <c r="T222" s="259"/>
      <c r="U222" s="259"/>
      <c r="V222" s="259"/>
      <c r="W222" s="259"/>
      <c r="X222" s="259"/>
      <c r="Y222" s="259"/>
      <c r="Z222" s="259"/>
      <c r="AA222" s="259"/>
      <c r="AB222" s="259"/>
      <c r="AC222" s="259"/>
      <c r="AD222" s="259"/>
      <c r="AE222" s="259"/>
      <c r="AF222" s="259"/>
      <c r="AG222" s="259"/>
      <c r="AH222" s="259"/>
      <c r="AI222" s="259"/>
      <c r="AJ222" s="259"/>
      <c r="AK222" s="259"/>
      <c r="AL222" s="259"/>
      <c r="AM222" s="259"/>
      <c r="AN222" s="259"/>
      <c r="AO222" s="259"/>
      <c r="AP222" s="259"/>
      <c r="AQ222" s="259"/>
      <c r="AR222" s="259"/>
      <c r="AS222" s="259"/>
      <c r="AT222" s="259"/>
      <c r="AU222" s="259"/>
      <c r="AV222" s="259"/>
      <c r="AW222" s="259"/>
    </row>
    <row r="223" spans="1:49" ht="15">
      <c r="A223" s="284" t="s">
        <v>185</v>
      </c>
      <c r="B223" s="220"/>
      <c r="C223" s="285">
        <f t="shared" si="164"/>
        <v>0</v>
      </c>
      <c r="D223" s="285">
        <f t="shared" si="164"/>
        <v>0</v>
      </c>
      <c r="E223" s="184">
        <f t="shared" si="162"/>
        <v>0</v>
      </c>
      <c r="F223" s="285">
        <f t="shared" si="165"/>
        <v>538.3</v>
      </c>
      <c r="G223" s="184">
        <f t="shared" si="163"/>
        <v>538.3</v>
      </c>
      <c r="H223" s="285">
        <f t="shared" si="166"/>
        <v>0</v>
      </c>
      <c r="I223" s="310">
        <f t="shared" si="167"/>
        <v>18</v>
      </c>
      <c r="J223" s="310">
        <f t="shared" si="168"/>
        <v>18</v>
      </c>
      <c r="K223" s="259"/>
      <c r="L223" s="259"/>
      <c r="M223" s="259"/>
      <c r="N223" s="264"/>
      <c r="O223" s="184">
        <f t="shared" si="169"/>
        <v>538.3</v>
      </c>
      <c r="P223" s="184">
        <f t="shared" si="170"/>
        <v>0</v>
      </c>
      <c r="Q223" s="184">
        <f t="shared" si="171"/>
        <v>0</v>
      </c>
      <c r="R223" s="297"/>
      <c r="S223" s="264"/>
      <c r="T223" s="259"/>
      <c r="U223" s="259"/>
      <c r="V223" s="259"/>
      <c r="W223" s="259"/>
      <c r="X223" s="259"/>
      <c r="Y223" s="259"/>
      <c r="Z223" s="259"/>
      <c r="AA223" s="259"/>
      <c r="AB223" s="259"/>
      <c r="AC223" s="259"/>
      <c r="AD223" s="259"/>
      <c r="AE223" s="259"/>
      <c r="AF223" s="259"/>
      <c r="AG223" s="259"/>
      <c r="AH223" s="259"/>
      <c r="AI223" s="259"/>
      <c r="AJ223" s="259"/>
      <c r="AK223" s="259"/>
      <c r="AL223" s="259"/>
      <c r="AM223" s="259"/>
      <c r="AN223" s="259"/>
      <c r="AO223" s="259"/>
      <c r="AP223" s="259"/>
      <c r="AQ223" s="259"/>
      <c r="AR223" s="259"/>
      <c r="AS223" s="259"/>
      <c r="AT223" s="259"/>
      <c r="AU223" s="259"/>
      <c r="AV223" s="259"/>
      <c r="AW223" s="259"/>
    </row>
    <row r="224" spans="1:49" ht="12">
      <c r="A224" s="284" t="s">
        <v>186</v>
      </c>
      <c r="B224" s="220"/>
      <c r="C224" s="285">
        <f t="shared" si="164"/>
        <v>0</v>
      </c>
      <c r="D224" s="285">
        <f t="shared" si="164"/>
        <v>0</v>
      </c>
      <c r="E224" s="184">
        <f t="shared" si="162"/>
        <v>0</v>
      </c>
      <c r="F224" s="285">
        <f t="shared" si="165"/>
        <v>538.3</v>
      </c>
      <c r="G224" s="184">
        <f t="shared" si="163"/>
        <v>538.3</v>
      </c>
      <c r="H224" s="285">
        <f t="shared" si="166"/>
        <v>0</v>
      </c>
      <c r="I224" s="310">
        <f t="shared" si="167"/>
        <v>18</v>
      </c>
      <c r="J224" s="310">
        <f t="shared" si="168"/>
        <v>18</v>
      </c>
      <c r="K224" s="259"/>
      <c r="L224" s="259"/>
      <c r="M224" s="259"/>
      <c r="N224" s="20"/>
      <c r="O224" s="184">
        <f t="shared" si="169"/>
        <v>538.3</v>
      </c>
      <c r="P224" s="184">
        <f t="shared" si="170"/>
        <v>0</v>
      </c>
      <c r="Q224" s="184">
        <f t="shared" si="171"/>
        <v>0</v>
      </c>
      <c r="R224" s="297"/>
      <c r="S224" s="20"/>
      <c r="T224" s="259"/>
      <c r="U224" s="259"/>
      <c r="V224" s="259"/>
      <c r="W224" s="259"/>
      <c r="X224" s="259"/>
      <c r="Y224" s="259"/>
      <c r="Z224" s="259"/>
      <c r="AA224" s="259"/>
      <c r="AB224" s="259"/>
      <c r="AC224" s="259"/>
      <c r="AD224" s="259"/>
      <c r="AE224" s="259"/>
      <c r="AF224" s="259"/>
      <c r="AG224" s="259"/>
      <c r="AH224" s="259"/>
      <c r="AI224" s="259"/>
      <c r="AJ224" s="259"/>
      <c r="AK224" s="259"/>
      <c r="AL224" s="259"/>
      <c r="AM224" s="259"/>
      <c r="AN224" s="259"/>
      <c r="AO224" s="259"/>
      <c r="AP224" s="259"/>
      <c r="AQ224" s="259"/>
      <c r="AR224" s="259"/>
      <c r="AS224" s="259"/>
      <c r="AT224" s="259"/>
      <c r="AU224" s="259"/>
      <c r="AV224" s="259"/>
      <c r="AW224" s="259"/>
    </row>
    <row r="225" spans="1:49" ht="15">
      <c r="A225" s="284" t="s">
        <v>187</v>
      </c>
      <c r="B225" s="220"/>
      <c r="C225" s="285">
        <f t="shared" si="164"/>
        <v>0</v>
      </c>
      <c r="D225" s="285">
        <f t="shared" si="164"/>
        <v>0</v>
      </c>
      <c r="E225" s="184">
        <f t="shared" si="162"/>
        <v>0</v>
      </c>
      <c r="F225" s="285">
        <f t="shared" si="165"/>
        <v>538.3</v>
      </c>
      <c r="G225" s="184">
        <f t="shared" si="163"/>
        <v>538.3</v>
      </c>
      <c r="H225" s="285">
        <f t="shared" si="166"/>
        <v>0</v>
      </c>
      <c r="I225" s="310">
        <f t="shared" si="167"/>
        <v>18</v>
      </c>
      <c r="J225" s="310">
        <f t="shared" si="168"/>
        <v>18</v>
      </c>
      <c r="K225" s="259"/>
      <c r="L225" s="259"/>
      <c r="M225" s="259"/>
      <c r="N225" s="264"/>
      <c r="O225" s="184">
        <f t="shared" si="169"/>
        <v>538.3</v>
      </c>
      <c r="P225" s="184">
        <f t="shared" si="170"/>
        <v>0</v>
      </c>
      <c r="Q225" s="184">
        <f t="shared" si="171"/>
        <v>0</v>
      </c>
      <c r="R225" s="297"/>
      <c r="S225" s="264"/>
      <c r="T225" s="259"/>
      <c r="U225" s="259"/>
      <c r="V225" s="259"/>
      <c r="W225" s="259"/>
      <c r="X225" s="259"/>
      <c r="Y225" s="259"/>
      <c r="Z225" s="259"/>
      <c r="AA225" s="259"/>
      <c r="AB225" s="259"/>
      <c r="AC225" s="259"/>
      <c r="AD225" s="259"/>
      <c r="AE225" s="259"/>
      <c r="AF225" s="259"/>
      <c r="AG225" s="259"/>
      <c r="AH225" s="259"/>
      <c r="AI225" s="259"/>
      <c r="AJ225" s="259"/>
      <c r="AK225" s="259"/>
      <c r="AL225" s="259"/>
      <c r="AM225" s="259"/>
      <c r="AN225" s="259"/>
      <c r="AO225" s="259"/>
      <c r="AP225" s="259"/>
      <c r="AQ225" s="259"/>
      <c r="AR225" s="259"/>
      <c r="AS225" s="259"/>
      <c r="AT225" s="259"/>
      <c r="AU225" s="259"/>
      <c r="AV225" s="259"/>
      <c r="AW225" s="259"/>
    </row>
    <row r="226" spans="1:49" ht="12">
      <c r="A226" s="284" t="s">
        <v>188</v>
      </c>
      <c r="B226" s="220"/>
      <c r="C226" s="285">
        <f t="shared" si="164"/>
        <v>0</v>
      </c>
      <c r="D226" s="285">
        <f t="shared" si="164"/>
        <v>0</v>
      </c>
      <c r="E226" s="184">
        <f t="shared" si="162"/>
        <v>0</v>
      </c>
      <c r="F226" s="285">
        <f t="shared" si="165"/>
        <v>538.3</v>
      </c>
      <c r="G226" s="184">
        <f t="shared" si="163"/>
        <v>538.3</v>
      </c>
      <c r="H226" s="285">
        <f t="shared" si="166"/>
        <v>0</v>
      </c>
      <c r="I226" s="310">
        <f t="shared" si="167"/>
        <v>18</v>
      </c>
      <c r="J226" s="310">
        <f t="shared" si="168"/>
        <v>18</v>
      </c>
      <c r="K226" s="259"/>
      <c r="L226" s="259"/>
      <c r="M226" s="259"/>
      <c r="N226" s="20"/>
      <c r="O226" s="184">
        <f t="shared" si="169"/>
        <v>538.3</v>
      </c>
      <c r="P226" s="184">
        <f t="shared" si="170"/>
        <v>0</v>
      </c>
      <c r="Q226" s="184">
        <f t="shared" si="171"/>
        <v>0</v>
      </c>
      <c r="R226" s="297"/>
      <c r="S226" s="20"/>
      <c r="T226" s="259"/>
      <c r="U226" s="259"/>
      <c r="V226" s="259"/>
      <c r="W226" s="259"/>
      <c r="X226" s="259"/>
      <c r="Y226" s="259"/>
      <c r="Z226" s="259"/>
      <c r="AA226" s="259"/>
      <c r="AB226" s="259"/>
      <c r="AC226" s="259"/>
      <c r="AD226" s="259"/>
      <c r="AE226" s="259"/>
      <c r="AF226" s="259"/>
      <c r="AG226" s="259"/>
      <c r="AH226" s="259"/>
      <c r="AI226" s="259"/>
      <c r="AJ226" s="259"/>
      <c r="AK226" s="259"/>
      <c r="AL226" s="259"/>
      <c r="AM226" s="259"/>
      <c r="AN226" s="259"/>
      <c r="AO226" s="259"/>
      <c r="AP226" s="259"/>
      <c r="AQ226" s="259"/>
      <c r="AR226" s="259"/>
      <c r="AS226" s="259"/>
      <c r="AT226" s="259"/>
      <c r="AU226" s="259"/>
      <c r="AV226" s="259"/>
      <c r="AW226" s="259"/>
    </row>
    <row r="227" spans="1:49" ht="15">
      <c r="A227" s="284" t="s">
        <v>189</v>
      </c>
      <c r="B227" s="220"/>
      <c r="C227" s="285">
        <f t="shared" si="164"/>
        <v>0</v>
      </c>
      <c r="D227" s="285">
        <f t="shared" si="164"/>
        <v>0</v>
      </c>
      <c r="E227" s="184">
        <f t="shared" si="162"/>
        <v>0</v>
      </c>
      <c r="F227" s="285">
        <f t="shared" si="165"/>
        <v>538.3</v>
      </c>
      <c r="G227" s="184">
        <f t="shared" si="163"/>
        <v>538.3</v>
      </c>
      <c r="H227" s="285">
        <f t="shared" si="166"/>
        <v>0</v>
      </c>
      <c r="I227" s="310">
        <f t="shared" si="167"/>
        <v>18</v>
      </c>
      <c r="J227" s="310">
        <f t="shared" si="168"/>
        <v>18</v>
      </c>
      <c r="K227" s="259"/>
      <c r="L227" s="259"/>
      <c r="M227" s="259"/>
      <c r="N227" s="264"/>
      <c r="O227" s="184">
        <f t="shared" si="169"/>
        <v>538.3</v>
      </c>
      <c r="P227" s="184">
        <f t="shared" si="170"/>
        <v>0</v>
      </c>
      <c r="Q227" s="184">
        <f t="shared" si="171"/>
        <v>0</v>
      </c>
      <c r="R227" s="297"/>
      <c r="S227" s="264"/>
      <c r="T227" s="259"/>
      <c r="U227" s="259"/>
      <c r="V227" s="259"/>
      <c r="W227" s="259"/>
      <c r="X227" s="259"/>
      <c r="Y227" s="259"/>
      <c r="Z227" s="259"/>
      <c r="AA227" s="259"/>
      <c r="AB227" s="259"/>
      <c r="AC227" s="259"/>
      <c r="AD227" s="259"/>
      <c r="AE227" s="259"/>
      <c r="AF227" s="259"/>
      <c r="AG227" s="259"/>
      <c r="AH227" s="259"/>
      <c r="AI227" s="259"/>
      <c r="AJ227" s="259"/>
      <c r="AK227" s="259"/>
      <c r="AL227" s="259"/>
      <c r="AM227" s="259"/>
      <c r="AN227" s="259"/>
      <c r="AO227" s="259"/>
      <c r="AP227" s="259"/>
      <c r="AQ227" s="259"/>
      <c r="AR227" s="259"/>
      <c r="AS227" s="259"/>
      <c r="AT227" s="259"/>
      <c r="AU227" s="259"/>
      <c r="AV227" s="259"/>
      <c r="AW227" s="259"/>
    </row>
    <row r="228" spans="1:49" ht="12">
      <c r="A228" s="284" t="s">
        <v>190</v>
      </c>
      <c r="B228" s="220"/>
      <c r="C228" s="285">
        <f t="shared" si="164"/>
        <v>0</v>
      </c>
      <c r="D228" s="285">
        <f t="shared" si="164"/>
        <v>0</v>
      </c>
      <c r="E228" s="184">
        <f t="shared" si="162"/>
        <v>0</v>
      </c>
      <c r="F228" s="285">
        <f t="shared" si="165"/>
        <v>538.3</v>
      </c>
      <c r="G228" s="184">
        <f t="shared" si="163"/>
        <v>538.3</v>
      </c>
      <c r="H228" s="285">
        <f t="shared" si="166"/>
        <v>0</v>
      </c>
      <c r="I228" s="310">
        <f t="shared" si="167"/>
        <v>18</v>
      </c>
      <c r="J228" s="310">
        <f t="shared" si="168"/>
        <v>18</v>
      </c>
      <c r="K228" s="259"/>
      <c r="L228" s="259"/>
      <c r="M228" s="259"/>
      <c r="N228" s="20"/>
      <c r="O228" s="184">
        <f t="shared" si="169"/>
        <v>538.3</v>
      </c>
      <c r="P228" s="184">
        <f t="shared" si="170"/>
        <v>0</v>
      </c>
      <c r="Q228" s="184">
        <f t="shared" si="171"/>
        <v>0</v>
      </c>
      <c r="R228" s="297"/>
      <c r="S228" s="20"/>
      <c r="T228" s="259"/>
      <c r="U228" s="259"/>
      <c r="V228" s="259"/>
      <c r="W228" s="259"/>
      <c r="X228" s="259"/>
      <c r="Y228" s="259"/>
      <c r="Z228" s="259"/>
      <c r="AA228" s="259"/>
      <c r="AB228" s="259"/>
      <c r="AC228" s="259"/>
      <c r="AD228" s="259"/>
      <c r="AE228" s="259"/>
      <c r="AF228" s="259"/>
      <c r="AG228" s="259"/>
      <c r="AH228" s="259"/>
      <c r="AI228" s="259"/>
      <c r="AJ228" s="259"/>
      <c r="AK228" s="259"/>
      <c r="AL228" s="259"/>
      <c r="AM228" s="259"/>
      <c r="AN228" s="259"/>
      <c r="AO228" s="259"/>
      <c r="AP228" s="259"/>
      <c r="AQ228" s="259"/>
      <c r="AR228" s="259"/>
      <c r="AS228" s="259"/>
      <c r="AT228" s="259"/>
      <c r="AU228" s="259"/>
      <c r="AV228" s="259"/>
      <c r="AW228" s="259"/>
    </row>
    <row r="229" spans="1:49" ht="15">
      <c r="A229" s="284" t="s">
        <v>191</v>
      </c>
      <c r="B229" s="220"/>
      <c r="C229" s="285">
        <f t="shared" si="164"/>
        <v>0</v>
      </c>
      <c r="D229" s="285">
        <f t="shared" si="164"/>
        <v>0</v>
      </c>
      <c r="E229" s="184">
        <f t="shared" si="162"/>
        <v>0</v>
      </c>
      <c r="F229" s="285">
        <f t="shared" si="165"/>
        <v>538.3</v>
      </c>
      <c r="G229" s="184">
        <f t="shared" si="163"/>
        <v>538.3</v>
      </c>
      <c r="H229" s="285">
        <f t="shared" si="166"/>
        <v>0</v>
      </c>
      <c r="I229" s="310">
        <f t="shared" si="167"/>
        <v>18</v>
      </c>
      <c r="J229" s="310">
        <f t="shared" si="168"/>
        <v>18</v>
      </c>
      <c r="K229" s="259"/>
      <c r="L229" s="259"/>
      <c r="M229" s="259"/>
      <c r="N229" s="264"/>
      <c r="O229" s="184">
        <f t="shared" si="169"/>
        <v>538.3</v>
      </c>
      <c r="P229" s="184">
        <f t="shared" si="170"/>
        <v>0</v>
      </c>
      <c r="Q229" s="184">
        <f t="shared" si="171"/>
        <v>0</v>
      </c>
      <c r="R229" s="297"/>
      <c r="S229" s="264"/>
      <c r="T229" s="259"/>
      <c r="U229" s="259"/>
      <c r="V229" s="259"/>
      <c r="W229" s="259"/>
      <c r="X229" s="259"/>
      <c r="Y229" s="259"/>
      <c r="Z229" s="259"/>
      <c r="AA229" s="259"/>
      <c r="AB229" s="259"/>
      <c r="AC229" s="259"/>
      <c r="AD229" s="259"/>
      <c r="AE229" s="259"/>
      <c r="AF229" s="259"/>
      <c r="AG229" s="259"/>
      <c r="AH229" s="259"/>
      <c r="AI229" s="259"/>
      <c r="AJ229" s="259"/>
      <c r="AK229" s="259"/>
      <c r="AL229" s="259"/>
      <c r="AM229" s="259"/>
      <c r="AN229" s="259"/>
      <c r="AO229" s="259"/>
      <c r="AP229" s="259"/>
      <c r="AQ229" s="259"/>
      <c r="AR229" s="259"/>
      <c r="AS229" s="259"/>
      <c r="AT229" s="259"/>
      <c r="AU229" s="259"/>
      <c r="AV229" s="259"/>
      <c r="AW229" s="259"/>
    </row>
    <row r="230" spans="1:49" ht="12">
      <c r="A230" s="284" t="s">
        <v>192</v>
      </c>
      <c r="B230" s="220"/>
      <c r="C230" s="285">
        <f t="shared" si="164"/>
        <v>0</v>
      </c>
      <c r="D230" s="285">
        <f t="shared" si="164"/>
        <v>0</v>
      </c>
      <c r="E230" s="184">
        <f t="shared" si="162"/>
        <v>0</v>
      </c>
      <c r="F230" s="285">
        <f t="shared" si="165"/>
        <v>538.3</v>
      </c>
      <c r="G230" s="184">
        <f t="shared" si="163"/>
        <v>538.3</v>
      </c>
      <c r="H230" s="285">
        <f t="shared" si="166"/>
        <v>0</v>
      </c>
      <c r="I230" s="310">
        <f t="shared" si="167"/>
        <v>18</v>
      </c>
      <c r="J230" s="310">
        <f t="shared" si="168"/>
        <v>18</v>
      </c>
      <c r="K230" s="259"/>
      <c r="L230" s="259"/>
      <c r="M230" s="259"/>
      <c r="N230" s="20"/>
      <c r="O230" s="184">
        <f t="shared" si="169"/>
        <v>538.3</v>
      </c>
      <c r="P230" s="184">
        <f t="shared" si="170"/>
        <v>0</v>
      </c>
      <c r="Q230" s="184">
        <f t="shared" si="171"/>
        <v>0</v>
      </c>
      <c r="R230" s="297"/>
      <c r="S230" s="20"/>
      <c r="T230" s="259"/>
      <c r="U230" s="259"/>
      <c r="V230" s="259"/>
      <c r="W230" s="259"/>
      <c r="X230" s="259"/>
      <c r="Y230" s="259"/>
      <c r="Z230" s="259"/>
      <c r="AA230" s="259"/>
      <c r="AB230" s="259"/>
      <c r="AC230" s="259"/>
      <c r="AD230" s="259"/>
      <c r="AE230" s="259"/>
      <c r="AF230" s="259"/>
      <c r="AG230" s="259"/>
      <c r="AH230" s="259"/>
      <c r="AI230" s="259"/>
      <c r="AJ230" s="259"/>
      <c r="AK230" s="259"/>
      <c r="AL230" s="259"/>
      <c r="AM230" s="259"/>
      <c r="AN230" s="259"/>
      <c r="AO230" s="259"/>
      <c r="AP230" s="259"/>
      <c r="AQ230" s="259"/>
      <c r="AR230" s="259"/>
      <c r="AS230" s="259"/>
      <c r="AT230" s="259"/>
      <c r="AU230" s="259"/>
      <c r="AV230" s="259"/>
      <c r="AW230" s="259"/>
    </row>
    <row r="231" spans="1:49" ht="15">
      <c r="A231" s="282">
        <f>A218+1</f>
        <v>2010</v>
      </c>
      <c r="B231" s="28"/>
      <c r="C231" s="28"/>
      <c r="D231" s="28"/>
      <c r="E231" s="306">
        <f>SUM(E232:E243)</f>
        <v>0</v>
      </c>
      <c r="F231" s="287"/>
      <c r="G231" s="283">
        <f>SUM(G232:G243)</f>
        <v>6459.600000000001</v>
      </c>
      <c r="H231" s="309">
        <f>SUM(H232:H243)</f>
        <v>0</v>
      </c>
      <c r="I231" s="311">
        <f>SUM(I232:I243)</f>
        <v>216</v>
      </c>
      <c r="J231" s="311">
        <f>SUM(J232:J243)</f>
        <v>216</v>
      </c>
      <c r="K231" s="259"/>
      <c r="L231" s="259"/>
      <c r="M231" s="259"/>
      <c r="N231" s="264"/>
      <c r="O231" s="136">
        <f>SUM(O232:O243)</f>
        <v>6459.600000000001</v>
      </c>
      <c r="P231" s="136">
        <f>SUM(P232:P243)</f>
        <v>0</v>
      </c>
      <c r="Q231" s="136">
        <f>SUM(Q232:Q243)</f>
        <v>0</v>
      </c>
      <c r="R231" s="136">
        <f>J231/I231</f>
        <v>1</v>
      </c>
      <c r="S231" s="264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259"/>
      <c r="AH231" s="259"/>
      <c r="AI231" s="259"/>
      <c r="AJ231" s="259"/>
      <c r="AK231" s="259"/>
      <c r="AL231" s="259"/>
      <c r="AM231" s="259"/>
      <c r="AN231" s="259"/>
      <c r="AO231" s="259"/>
      <c r="AP231" s="259"/>
      <c r="AQ231" s="259"/>
      <c r="AR231" s="259"/>
      <c r="AS231" s="259"/>
      <c r="AT231" s="259"/>
      <c r="AU231" s="259"/>
      <c r="AV231" s="259"/>
      <c r="AW231" s="259"/>
    </row>
    <row r="232" spans="1:49" ht="12">
      <c r="A232" s="284" t="s">
        <v>181</v>
      </c>
      <c r="B232" s="220"/>
      <c r="C232" s="285">
        <f>C230</f>
        <v>0</v>
      </c>
      <c r="D232" s="285">
        <f>D230</f>
        <v>0</v>
      </c>
      <c r="E232" s="184">
        <f aca="true" t="shared" si="172" ref="E232:E243">C232+D232</f>
        <v>0</v>
      </c>
      <c r="F232" s="285">
        <f>F230</f>
        <v>538.3</v>
      </c>
      <c r="G232" s="184">
        <f aca="true" t="shared" si="173" ref="G232:G243">SUM(E232:F232)</f>
        <v>538.3</v>
      </c>
      <c r="H232" s="285">
        <f>H230</f>
        <v>0</v>
      </c>
      <c r="I232" s="310">
        <f>I230</f>
        <v>18</v>
      </c>
      <c r="J232" s="310">
        <f>J230</f>
        <v>18</v>
      </c>
      <c r="K232" s="259"/>
      <c r="L232" s="259"/>
      <c r="M232" s="259"/>
      <c r="N232" s="20"/>
      <c r="O232" s="184">
        <f>G232/I232*J232</f>
        <v>538.3</v>
      </c>
      <c r="P232" s="184">
        <f>E232*0.18/I232*J232</f>
        <v>0</v>
      </c>
      <c r="Q232" s="184">
        <f>H232/I232*J232</f>
        <v>0</v>
      </c>
      <c r="R232" s="297"/>
      <c r="S232" s="20"/>
      <c r="T232" s="259"/>
      <c r="U232" s="259"/>
      <c r="V232" s="259"/>
      <c r="W232" s="259"/>
      <c r="X232" s="259"/>
      <c r="Y232" s="259"/>
      <c r="Z232" s="259"/>
      <c r="AA232" s="259"/>
      <c r="AB232" s="259"/>
      <c r="AC232" s="259"/>
      <c r="AD232" s="259"/>
      <c r="AE232" s="259"/>
      <c r="AF232" s="259"/>
      <c r="AG232" s="259"/>
      <c r="AH232" s="259"/>
      <c r="AI232" s="259"/>
      <c r="AJ232" s="259"/>
      <c r="AK232" s="259"/>
      <c r="AL232" s="259"/>
      <c r="AM232" s="259"/>
      <c r="AN232" s="259"/>
      <c r="AO232" s="259"/>
      <c r="AP232" s="259"/>
      <c r="AQ232" s="259"/>
      <c r="AR232" s="259"/>
      <c r="AS232" s="259"/>
      <c r="AT232" s="259"/>
      <c r="AU232" s="259"/>
      <c r="AV232" s="259"/>
      <c r="AW232" s="259"/>
    </row>
    <row r="233" spans="1:49" ht="15">
      <c r="A233" s="284" t="s">
        <v>182</v>
      </c>
      <c r="B233" s="220"/>
      <c r="C233" s="285">
        <f aca="true" t="shared" si="174" ref="C233:D243">C232</f>
        <v>0</v>
      </c>
      <c r="D233" s="285">
        <f t="shared" si="174"/>
        <v>0</v>
      </c>
      <c r="E233" s="184">
        <f t="shared" si="172"/>
        <v>0</v>
      </c>
      <c r="F233" s="285">
        <f aca="true" t="shared" si="175" ref="F233:F243">F232</f>
        <v>538.3</v>
      </c>
      <c r="G233" s="184">
        <f t="shared" si="173"/>
        <v>538.3</v>
      </c>
      <c r="H233" s="285">
        <f aca="true" t="shared" si="176" ref="H233:H243">H232</f>
        <v>0</v>
      </c>
      <c r="I233" s="310">
        <f aca="true" t="shared" si="177" ref="I233:I243">I232</f>
        <v>18</v>
      </c>
      <c r="J233" s="310">
        <f aca="true" t="shared" si="178" ref="J233:J243">J232</f>
        <v>18</v>
      </c>
      <c r="K233" s="259"/>
      <c r="L233" s="259"/>
      <c r="M233" s="259"/>
      <c r="N233" s="264"/>
      <c r="O233" s="184">
        <f aca="true" t="shared" si="179" ref="O233:O243">G233/I233*J233</f>
        <v>538.3</v>
      </c>
      <c r="P233" s="184">
        <f aca="true" t="shared" si="180" ref="P233:P243">E233*0.18/I233*J233</f>
        <v>0</v>
      </c>
      <c r="Q233" s="184">
        <f aca="true" t="shared" si="181" ref="Q233:Q243">H233/I233*J233</f>
        <v>0</v>
      </c>
      <c r="R233" s="297"/>
      <c r="S233" s="264"/>
      <c r="T233" s="259"/>
      <c r="U233" s="259"/>
      <c r="V233" s="259"/>
      <c r="W233" s="259"/>
      <c r="X233" s="259"/>
      <c r="Y233" s="259"/>
      <c r="Z233" s="259"/>
      <c r="AA233" s="259"/>
      <c r="AB233" s="259"/>
      <c r="AC233" s="259"/>
      <c r="AD233" s="259"/>
      <c r="AE233" s="259"/>
      <c r="AF233" s="259"/>
      <c r="AG233" s="259"/>
      <c r="AH233" s="259"/>
      <c r="AI233" s="259"/>
      <c r="AJ233" s="259"/>
      <c r="AK233" s="259"/>
      <c r="AL233" s="259"/>
      <c r="AM233" s="259"/>
      <c r="AN233" s="259"/>
      <c r="AO233" s="259"/>
      <c r="AP233" s="259"/>
      <c r="AQ233" s="259"/>
      <c r="AR233" s="259"/>
      <c r="AS233" s="259"/>
      <c r="AT233" s="259"/>
      <c r="AU233" s="259"/>
      <c r="AV233" s="259"/>
      <c r="AW233" s="259"/>
    </row>
    <row r="234" spans="1:49" ht="12">
      <c r="A234" s="284" t="s">
        <v>183</v>
      </c>
      <c r="B234" s="220"/>
      <c r="C234" s="285">
        <f t="shared" si="174"/>
        <v>0</v>
      </c>
      <c r="D234" s="285">
        <f t="shared" si="174"/>
        <v>0</v>
      </c>
      <c r="E234" s="184">
        <f t="shared" si="172"/>
        <v>0</v>
      </c>
      <c r="F234" s="285">
        <f t="shared" si="175"/>
        <v>538.3</v>
      </c>
      <c r="G234" s="184">
        <f t="shared" si="173"/>
        <v>538.3</v>
      </c>
      <c r="H234" s="285">
        <f t="shared" si="176"/>
        <v>0</v>
      </c>
      <c r="I234" s="310">
        <f t="shared" si="177"/>
        <v>18</v>
      </c>
      <c r="J234" s="310">
        <f t="shared" si="178"/>
        <v>18</v>
      </c>
      <c r="K234" s="259"/>
      <c r="L234" s="259"/>
      <c r="M234" s="259"/>
      <c r="N234" s="20"/>
      <c r="O234" s="184">
        <f t="shared" si="179"/>
        <v>538.3</v>
      </c>
      <c r="P234" s="184">
        <f t="shared" si="180"/>
        <v>0</v>
      </c>
      <c r="Q234" s="184">
        <f t="shared" si="181"/>
        <v>0</v>
      </c>
      <c r="R234" s="297"/>
      <c r="S234" s="20"/>
      <c r="T234" s="259"/>
      <c r="U234" s="259"/>
      <c r="V234" s="259"/>
      <c r="W234" s="259"/>
      <c r="X234" s="259"/>
      <c r="Y234" s="259"/>
      <c r="Z234" s="259"/>
      <c r="AA234" s="259"/>
      <c r="AB234" s="259"/>
      <c r="AC234" s="259"/>
      <c r="AD234" s="259"/>
      <c r="AE234" s="259"/>
      <c r="AF234" s="259"/>
      <c r="AG234" s="259"/>
      <c r="AH234" s="259"/>
      <c r="AI234" s="259"/>
      <c r="AJ234" s="259"/>
      <c r="AK234" s="259"/>
      <c r="AL234" s="259"/>
      <c r="AM234" s="259"/>
      <c r="AN234" s="259"/>
      <c r="AO234" s="259"/>
      <c r="AP234" s="259"/>
      <c r="AQ234" s="259"/>
      <c r="AR234" s="259"/>
      <c r="AS234" s="259"/>
      <c r="AT234" s="259"/>
      <c r="AU234" s="259"/>
      <c r="AV234" s="259"/>
      <c r="AW234" s="259"/>
    </row>
    <row r="235" spans="1:49" ht="15">
      <c r="A235" s="284" t="s">
        <v>184</v>
      </c>
      <c r="B235" s="220"/>
      <c r="C235" s="285">
        <f t="shared" si="174"/>
        <v>0</v>
      </c>
      <c r="D235" s="285">
        <f t="shared" si="174"/>
        <v>0</v>
      </c>
      <c r="E235" s="184">
        <f t="shared" si="172"/>
        <v>0</v>
      </c>
      <c r="F235" s="285">
        <f t="shared" si="175"/>
        <v>538.3</v>
      </c>
      <c r="G235" s="184">
        <f t="shared" si="173"/>
        <v>538.3</v>
      </c>
      <c r="H235" s="285">
        <f t="shared" si="176"/>
        <v>0</v>
      </c>
      <c r="I235" s="310">
        <f t="shared" si="177"/>
        <v>18</v>
      </c>
      <c r="J235" s="310">
        <f t="shared" si="178"/>
        <v>18</v>
      </c>
      <c r="K235" s="259"/>
      <c r="L235" s="259"/>
      <c r="M235" s="259"/>
      <c r="N235" s="264"/>
      <c r="O235" s="184">
        <f t="shared" si="179"/>
        <v>538.3</v>
      </c>
      <c r="P235" s="184">
        <f t="shared" si="180"/>
        <v>0</v>
      </c>
      <c r="Q235" s="184">
        <f t="shared" si="181"/>
        <v>0</v>
      </c>
      <c r="R235" s="297"/>
      <c r="S235" s="264"/>
      <c r="T235" s="259"/>
      <c r="U235" s="259"/>
      <c r="V235" s="259"/>
      <c r="W235" s="259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259"/>
      <c r="AH235" s="259"/>
      <c r="AI235" s="259"/>
      <c r="AJ235" s="259"/>
      <c r="AK235" s="259"/>
      <c r="AL235" s="259"/>
      <c r="AM235" s="259"/>
      <c r="AN235" s="259"/>
      <c r="AO235" s="259"/>
      <c r="AP235" s="259"/>
      <c r="AQ235" s="259"/>
      <c r="AR235" s="259"/>
      <c r="AS235" s="259"/>
      <c r="AT235" s="259"/>
      <c r="AU235" s="259"/>
      <c r="AV235" s="259"/>
      <c r="AW235" s="259"/>
    </row>
    <row r="236" spans="1:49" ht="12">
      <c r="A236" s="284" t="s">
        <v>185</v>
      </c>
      <c r="B236" s="220"/>
      <c r="C236" s="285">
        <f t="shared" si="174"/>
        <v>0</v>
      </c>
      <c r="D236" s="285">
        <f t="shared" si="174"/>
        <v>0</v>
      </c>
      <c r="E236" s="184">
        <f t="shared" si="172"/>
        <v>0</v>
      </c>
      <c r="F236" s="285">
        <f t="shared" si="175"/>
        <v>538.3</v>
      </c>
      <c r="G236" s="184">
        <f t="shared" si="173"/>
        <v>538.3</v>
      </c>
      <c r="H236" s="285">
        <f t="shared" si="176"/>
        <v>0</v>
      </c>
      <c r="I236" s="310">
        <f t="shared" si="177"/>
        <v>18</v>
      </c>
      <c r="J236" s="310">
        <f t="shared" si="178"/>
        <v>18</v>
      </c>
      <c r="K236" s="259"/>
      <c r="L236" s="259"/>
      <c r="M236" s="259"/>
      <c r="N236" s="20"/>
      <c r="O236" s="184">
        <f t="shared" si="179"/>
        <v>538.3</v>
      </c>
      <c r="P236" s="184">
        <f t="shared" si="180"/>
        <v>0</v>
      </c>
      <c r="Q236" s="184">
        <f t="shared" si="181"/>
        <v>0</v>
      </c>
      <c r="R236" s="297"/>
      <c r="S236" s="20"/>
      <c r="T236" s="259"/>
      <c r="U236" s="259"/>
      <c r="V236" s="259"/>
      <c r="W236" s="259"/>
      <c r="X236" s="259"/>
      <c r="Y236" s="259"/>
      <c r="Z236" s="259"/>
      <c r="AA236" s="259"/>
      <c r="AB236" s="259"/>
      <c r="AC236" s="259"/>
      <c r="AD236" s="259"/>
      <c r="AE236" s="259"/>
      <c r="AF236" s="259"/>
      <c r="AG236" s="259"/>
      <c r="AH236" s="259"/>
      <c r="AI236" s="259"/>
      <c r="AJ236" s="259"/>
      <c r="AK236" s="259"/>
      <c r="AL236" s="259"/>
      <c r="AM236" s="259"/>
      <c r="AN236" s="259"/>
      <c r="AO236" s="259"/>
      <c r="AP236" s="259"/>
      <c r="AQ236" s="259"/>
      <c r="AR236" s="259"/>
      <c r="AS236" s="259"/>
      <c r="AT236" s="259"/>
      <c r="AU236" s="259"/>
      <c r="AV236" s="259"/>
      <c r="AW236" s="259"/>
    </row>
    <row r="237" spans="1:49" ht="15">
      <c r="A237" s="284" t="s">
        <v>186</v>
      </c>
      <c r="B237" s="220"/>
      <c r="C237" s="285">
        <f t="shared" si="174"/>
        <v>0</v>
      </c>
      <c r="D237" s="285">
        <f t="shared" si="174"/>
        <v>0</v>
      </c>
      <c r="E237" s="184">
        <f t="shared" si="172"/>
        <v>0</v>
      </c>
      <c r="F237" s="285">
        <f t="shared" si="175"/>
        <v>538.3</v>
      </c>
      <c r="G237" s="184">
        <f t="shared" si="173"/>
        <v>538.3</v>
      </c>
      <c r="H237" s="285">
        <f t="shared" si="176"/>
        <v>0</v>
      </c>
      <c r="I237" s="310">
        <f t="shared" si="177"/>
        <v>18</v>
      </c>
      <c r="J237" s="310">
        <f t="shared" si="178"/>
        <v>18</v>
      </c>
      <c r="K237" s="259"/>
      <c r="L237" s="259"/>
      <c r="M237" s="259"/>
      <c r="N237" s="264"/>
      <c r="O237" s="184">
        <f t="shared" si="179"/>
        <v>538.3</v>
      </c>
      <c r="P237" s="184">
        <f t="shared" si="180"/>
        <v>0</v>
      </c>
      <c r="Q237" s="184">
        <f t="shared" si="181"/>
        <v>0</v>
      </c>
      <c r="R237" s="297"/>
      <c r="S237" s="264"/>
      <c r="T237" s="259"/>
      <c r="U237" s="259"/>
      <c r="V237" s="259"/>
      <c r="W237" s="259"/>
      <c r="X237" s="259"/>
      <c r="Y237" s="259"/>
      <c r="Z237" s="259"/>
      <c r="AA237" s="259"/>
      <c r="AB237" s="259"/>
      <c r="AC237" s="259"/>
      <c r="AD237" s="259"/>
      <c r="AE237" s="259"/>
      <c r="AF237" s="259"/>
      <c r="AG237" s="259"/>
      <c r="AH237" s="259"/>
      <c r="AI237" s="259"/>
      <c r="AJ237" s="259"/>
      <c r="AK237" s="259"/>
      <c r="AL237" s="259"/>
      <c r="AM237" s="259"/>
      <c r="AN237" s="259"/>
      <c r="AO237" s="259"/>
      <c r="AP237" s="259"/>
      <c r="AQ237" s="259"/>
      <c r="AR237" s="259"/>
      <c r="AS237" s="259"/>
      <c r="AT237" s="259"/>
      <c r="AU237" s="259"/>
      <c r="AV237" s="259"/>
      <c r="AW237" s="259"/>
    </row>
    <row r="238" spans="1:49" ht="12">
      <c r="A238" s="284" t="s">
        <v>187</v>
      </c>
      <c r="B238" s="220"/>
      <c r="C238" s="285">
        <f t="shared" si="174"/>
        <v>0</v>
      </c>
      <c r="D238" s="285">
        <f t="shared" si="174"/>
        <v>0</v>
      </c>
      <c r="E238" s="184">
        <f t="shared" si="172"/>
        <v>0</v>
      </c>
      <c r="F238" s="285">
        <f t="shared" si="175"/>
        <v>538.3</v>
      </c>
      <c r="G238" s="184">
        <f t="shared" si="173"/>
        <v>538.3</v>
      </c>
      <c r="H238" s="285">
        <f t="shared" si="176"/>
        <v>0</v>
      </c>
      <c r="I238" s="310">
        <f t="shared" si="177"/>
        <v>18</v>
      </c>
      <c r="J238" s="310">
        <f t="shared" si="178"/>
        <v>18</v>
      </c>
      <c r="K238" s="259"/>
      <c r="L238" s="259"/>
      <c r="M238" s="259"/>
      <c r="N238" s="20"/>
      <c r="O238" s="184">
        <f t="shared" si="179"/>
        <v>538.3</v>
      </c>
      <c r="P238" s="184">
        <f t="shared" si="180"/>
        <v>0</v>
      </c>
      <c r="Q238" s="184">
        <f t="shared" si="181"/>
        <v>0</v>
      </c>
      <c r="R238" s="297"/>
      <c r="S238" s="20"/>
      <c r="T238" s="259"/>
      <c r="U238" s="259"/>
      <c r="V238" s="259"/>
      <c r="W238" s="259"/>
      <c r="X238" s="259"/>
      <c r="Y238" s="259"/>
      <c r="Z238" s="259"/>
      <c r="AA238" s="259"/>
      <c r="AB238" s="259"/>
      <c r="AC238" s="259"/>
      <c r="AD238" s="259"/>
      <c r="AE238" s="259"/>
      <c r="AF238" s="259"/>
      <c r="AG238" s="259"/>
      <c r="AH238" s="259"/>
      <c r="AI238" s="259"/>
      <c r="AJ238" s="259"/>
      <c r="AK238" s="259"/>
      <c r="AL238" s="259"/>
      <c r="AM238" s="259"/>
      <c r="AN238" s="259"/>
      <c r="AO238" s="259"/>
      <c r="AP238" s="259"/>
      <c r="AQ238" s="259"/>
      <c r="AR238" s="259"/>
      <c r="AS238" s="259"/>
      <c r="AT238" s="259"/>
      <c r="AU238" s="259"/>
      <c r="AV238" s="259"/>
      <c r="AW238" s="259"/>
    </row>
    <row r="239" spans="1:49" ht="15">
      <c r="A239" s="284" t="s">
        <v>188</v>
      </c>
      <c r="B239" s="220"/>
      <c r="C239" s="285">
        <f t="shared" si="174"/>
        <v>0</v>
      </c>
      <c r="D239" s="285">
        <f t="shared" si="174"/>
        <v>0</v>
      </c>
      <c r="E239" s="184">
        <f t="shared" si="172"/>
        <v>0</v>
      </c>
      <c r="F239" s="285">
        <f t="shared" si="175"/>
        <v>538.3</v>
      </c>
      <c r="G239" s="184">
        <f t="shared" si="173"/>
        <v>538.3</v>
      </c>
      <c r="H239" s="285">
        <f t="shared" si="176"/>
        <v>0</v>
      </c>
      <c r="I239" s="310">
        <f t="shared" si="177"/>
        <v>18</v>
      </c>
      <c r="J239" s="310">
        <f t="shared" si="178"/>
        <v>18</v>
      </c>
      <c r="K239" s="259"/>
      <c r="L239" s="259"/>
      <c r="M239" s="259"/>
      <c r="N239" s="264"/>
      <c r="O239" s="184">
        <f t="shared" si="179"/>
        <v>538.3</v>
      </c>
      <c r="P239" s="184">
        <f t="shared" si="180"/>
        <v>0</v>
      </c>
      <c r="Q239" s="184">
        <f t="shared" si="181"/>
        <v>0</v>
      </c>
      <c r="R239" s="297"/>
      <c r="S239" s="264"/>
      <c r="T239" s="259"/>
      <c r="U239" s="259"/>
      <c r="V239" s="259"/>
      <c r="W239" s="259"/>
      <c r="X239" s="259"/>
      <c r="Y239" s="259"/>
      <c r="Z239" s="259"/>
      <c r="AA239" s="259"/>
      <c r="AB239" s="259"/>
      <c r="AC239" s="259"/>
      <c r="AD239" s="259"/>
      <c r="AE239" s="259"/>
      <c r="AF239" s="259"/>
      <c r="AG239" s="259"/>
      <c r="AH239" s="259"/>
      <c r="AI239" s="259"/>
      <c r="AJ239" s="259"/>
      <c r="AK239" s="259"/>
      <c r="AL239" s="259"/>
      <c r="AM239" s="259"/>
      <c r="AN239" s="259"/>
      <c r="AO239" s="259"/>
      <c r="AP239" s="259"/>
      <c r="AQ239" s="259"/>
      <c r="AR239" s="259"/>
      <c r="AS239" s="259"/>
      <c r="AT239" s="259"/>
      <c r="AU239" s="259"/>
      <c r="AV239" s="259"/>
      <c r="AW239" s="259"/>
    </row>
    <row r="240" spans="1:49" ht="12">
      <c r="A240" s="284" t="s">
        <v>189</v>
      </c>
      <c r="B240" s="220"/>
      <c r="C240" s="285">
        <f t="shared" si="174"/>
        <v>0</v>
      </c>
      <c r="D240" s="285">
        <f t="shared" si="174"/>
        <v>0</v>
      </c>
      <c r="E240" s="184">
        <f t="shared" si="172"/>
        <v>0</v>
      </c>
      <c r="F240" s="285">
        <f t="shared" si="175"/>
        <v>538.3</v>
      </c>
      <c r="G240" s="184">
        <f t="shared" si="173"/>
        <v>538.3</v>
      </c>
      <c r="H240" s="285">
        <f t="shared" si="176"/>
        <v>0</v>
      </c>
      <c r="I240" s="310">
        <f t="shared" si="177"/>
        <v>18</v>
      </c>
      <c r="J240" s="310">
        <f t="shared" si="178"/>
        <v>18</v>
      </c>
      <c r="K240" s="259"/>
      <c r="L240" s="259"/>
      <c r="M240" s="259"/>
      <c r="N240" s="20"/>
      <c r="O240" s="184">
        <f t="shared" si="179"/>
        <v>538.3</v>
      </c>
      <c r="P240" s="184">
        <f t="shared" si="180"/>
        <v>0</v>
      </c>
      <c r="Q240" s="184">
        <f t="shared" si="181"/>
        <v>0</v>
      </c>
      <c r="R240" s="297"/>
      <c r="S240" s="20"/>
      <c r="T240" s="259"/>
      <c r="U240" s="259"/>
      <c r="V240" s="259"/>
      <c r="W240" s="259"/>
      <c r="X240" s="259"/>
      <c r="Y240" s="259"/>
      <c r="Z240" s="259"/>
      <c r="AA240" s="259"/>
      <c r="AB240" s="259"/>
      <c r="AC240" s="259"/>
      <c r="AD240" s="259"/>
      <c r="AE240" s="259"/>
      <c r="AF240" s="259"/>
      <c r="AG240" s="259"/>
      <c r="AH240" s="259"/>
      <c r="AI240" s="259"/>
      <c r="AJ240" s="259"/>
      <c r="AK240" s="259"/>
      <c r="AL240" s="259"/>
      <c r="AM240" s="259"/>
      <c r="AN240" s="259"/>
      <c r="AO240" s="259"/>
      <c r="AP240" s="259"/>
      <c r="AQ240" s="259"/>
      <c r="AR240" s="259"/>
      <c r="AS240" s="259"/>
      <c r="AT240" s="259"/>
      <c r="AU240" s="259"/>
      <c r="AV240" s="259"/>
      <c r="AW240" s="259"/>
    </row>
    <row r="241" spans="1:49" ht="15">
      <c r="A241" s="284" t="s">
        <v>190</v>
      </c>
      <c r="B241" s="220"/>
      <c r="C241" s="285">
        <f t="shared" si="174"/>
        <v>0</v>
      </c>
      <c r="D241" s="285">
        <f t="shared" si="174"/>
        <v>0</v>
      </c>
      <c r="E241" s="184">
        <f t="shared" si="172"/>
        <v>0</v>
      </c>
      <c r="F241" s="285">
        <f t="shared" si="175"/>
        <v>538.3</v>
      </c>
      <c r="G241" s="184">
        <f t="shared" si="173"/>
        <v>538.3</v>
      </c>
      <c r="H241" s="285">
        <f t="shared" si="176"/>
        <v>0</v>
      </c>
      <c r="I241" s="310">
        <f t="shared" si="177"/>
        <v>18</v>
      </c>
      <c r="J241" s="310">
        <f t="shared" si="178"/>
        <v>18</v>
      </c>
      <c r="K241" s="259"/>
      <c r="L241" s="259"/>
      <c r="M241" s="259"/>
      <c r="N241" s="264"/>
      <c r="O241" s="184">
        <f t="shared" si="179"/>
        <v>538.3</v>
      </c>
      <c r="P241" s="184">
        <f t="shared" si="180"/>
        <v>0</v>
      </c>
      <c r="Q241" s="184">
        <f t="shared" si="181"/>
        <v>0</v>
      </c>
      <c r="R241" s="297"/>
      <c r="S241" s="264"/>
      <c r="T241" s="259"/>
      <c r="U241" s="259"/>
      <c r="V241" s="259"/>
      <c r="W241" s="259"/>
      <c r="X241" s="259"/>
      <c r="Y241" s="259"/>
      <c r="Z241" s="259"/>
      <c r="AA241" s="259"/>
      <c r="AB241" s="259"/>
      <c r="AC241" s="259"/>
      <c r="AD241" s="259"/>
      <c r="AE241" s="259"/>
      <c r="AF241" s="259"/>
      <c r="AG241" s="259"/>
      <c r="AH241" s="259"/>
      <c r="AI241" s="259"/>
      <c r="AJ241" s="259"/>
      <c r="AK241" s="259"/>
      <c r="AL241" s="259"/>
      <c r="AM241" s="259"/>
      <c r="AN241" s="259"/>
      <c r="AO241" s="259"/>
      <c r="AP241" s="259"/>
      <c r="AQ241" s="259"/>
      <c r="AR241" s="259"/>
      <c r="AS241" s="259"/>
      <c r="AT241" s="259"/>
      <c r="AU241" s="259"/>
      <c r="AV241" s="259"/>
      <c r="AW241" s="259"/>
    </row>
    <row r="242" spans="1:49" ht="12">
      <c r="A242" s="284" t="s">
        <v>191</v>
      </c>
      <c r="B242" s="220"/>
      <c r="C242" s="285">
        <f t="shared" si="174"/>
        <v>0</v>
      </c>
      <c r="D242" s="285">
        <f t="shared" si="174"/>
        <v>0</v>
      </c>
      <c r="E242" s="184">
        <f t="shared" si="172"/>
        <v>0</v>
      </c>
      <c r="F242" s="285">
        <f t="shared" si="175"/>
        <v>538.3</v>
      </c>
      <c r="G242" s="184">
        <f t="shared" si="173"/>
        <v>538.3</v>
      </c>
      <c r="H242" s="285">
        <f t="shared" si="176"/>
        <v>0</v>
      </c>
      <c r="I242" s="310">
        <f t="shared" si="177"/>
        <v>18</v>
      </c>
      <c r="J242" s="310">
        <f t="shared" si="178"/>
        <v>18</v>
      </c>
      <c r="K242" s="259"/>
      <c r="L242" s="259"/>
      <c r="M242" s="259"/>
      <c r="N242" s="20"/>
      <c r="O242" s="184">
        <f t="shared" si="179"/>
        <v>538.3</v>
      </c>
      <c r="P242" s="184">
        <f t="shared" si="180"/>
        <v>0</v>
      </c>
      <c r="Q242" s="184">
        <f t="shared" si="181"/>
        <v>0</v>
      </c>
      <c r="R242" s="297"/>
      <c r="S242" s="20"/>
      <c r="T242" s="259"/>
      <c r="U242" s="259"/>
      <c r="V242" s="259"/>
      <c r="W242" s="259"/>
      <c r="X242" s="259"/>
      <c r="Y242" s="259"/>
      <c r="Z242" s="259"/>
      <c r="AA242" s="259"/>
      <c r="AB242" s="259"/>
      <c r="AC242" s="259"/>
      <c r="AD242" s="259"/>
      <c r="AE242" s="259"/>
      <c r="AF242" s="259"/>
      <c r="AG242" s="259"/>
      <c r="AH242" s="259"/>
      <c r="AI242" s="259"/>
      <c r="AJ242" s="259"/>
      <c r="AK242" s="259"/>
      <c r="AL242" s="259"/>
      <c r="AM242" s="259"/>
      <c r="AN242" s="259"/>
      <c r="AO242" s="259"/>
      <c r="AP242" s="259"/>
      <c r="AQ242" s="259"/>
      <c r="AR242" s="259"/>
      <c r="AS242" s="259"/>
      <c r="AT242" s="259"/>
      <c r="AU242" s="259"/>
      <c r="AV242" s="259"/>
      <c r="AW242" s="259"/>
    </row>
    <row r="243" spans="1:49" ht="15">
      <c r="A243" s="284" t="s">
        <v>192</v>
      </c>
      <c r="B243" s="220"/>
      <c r="C243" s="285">
        <f t="shared" si="174"/>
        <v>0</v>
      </c>
      <c r="D243" s="285">
        <f t="shared" si="174"/>
        <v>0</v>
      </c>
      <c r="E243" s="184">
        <f t="shared" si="172"/>
        <v>0</v>
      </c>
      <c r="F243" s="285">
        <f t="shared" si="175"/>
        <v>538.3</v>
      </c>
      <c r="G243" s="184">
        <f t="shared" si="173"/>
        <v>538.3</v>
      </c>
      <c r="H243" s="285">
        <f t="shared" si="176"/>
        <v>0</v>
      </c>
      <c r="I243" s="310">
        <f t="shared" si="177"/>
        <v>18</v>
      </c>
      <c r="J243" s="310">
        <f t="shared" si="178"/>
        <v>18</v>
      </c>
      <c r="K243" s="259"/>
      <c r="L243" s="259"/>
      <c r="M243" s="259"/>
      <c r="N243" s="264"/>
      <c r="O243" s="184">
        <f t="shared" si="179"/>
        <v>538.3</v>
      </c>
      <c r="P243" s="184">
        <f t="shared" si="180"/>
        <v>0</v>
      </c>
      <c r="Q243" s="184">
        <f t="shared" si="181"/>
        <v>0</v>
      </c>
      <c r="R243" s="297"/>
      <c r="S243" s="264"/>
      <c r="T243" s="259"/>
      <c r="U243" s="259"/>
      <c r="V243" s="259"/>
      <c r="W243" s="259"/>
      <c r="X243" s="259"/>
      <c r="Y243" s="259"/>
      <c r="Z243" s="259"/>
      <c r="AA243" s="259"/>
      <c r="AB243" s="259"/>
      <c r="AC243" s="259"/>
      <c r="AD243" s="259"/>
      <c r="AE243" s="259"/>
      <c r="AF243" s="259"/>
      <c r="AG243" s="259"/>
      <c r="AH243" s="259"/>
      <c r="AI243" s="259"/>
      <c r="AJ243" s="259"/>
      <c r="AK243" s="259"/>
      <c r="AL243" s="259"/>
      <c r="AM243" s="259"/>
      <c r="AN243" s="259"/>
      <c r="AO243" s="259"/>
      <c r="AP243" s="259"/>
      <c r="AQ243" s="259"/>
      <c r="AR243" s="259"/>
      <c r="AS243" s="259"/>
      <c r="AT243" s="259"/>
      <c r="AU243" s="259"/>
      <c r="AV243" s="259"/>
      <c r="AW243" s="259"/>
    </row>
    <row r="244" spans="1:49" ht="12.75">
      <c r="A244" s="282">
        <f>A231+1</f>
        <v>2011</v>
      </c>
      <c r="B244" s="28"/>
      <c r="C244" s="28"/>
      <c r="D244" s="28"/>
      <c r="E244" s="306">
        <f>SUM(E245:E256)</f>
        <v>0</v>
      </c>
      <c r="F244" s="287"/>
      <c r="G244" s="283">
        <f>SUM(G245:G256)</f>
        <v>6459.600000000001</v>
      </c>
      <c r="H244" s="309">
        <f>SUM(H245:H256)</f>
        <v>0</v>
      </c>
      <c r="I244" s="311">
        <f>SUM(I245:I256)</f>
        <v>216</v>
      </c>
      <c r="J244" s="311">
        <f>SUM(J245:J256)</f>
        <v>216</v>
      </c>
      <c r="K244" s="259"/>
      <c r="L244" s="259"/>
      <c r="M244" s="259"/>
      <c r="N244" s="20"/>
      <c r="O244" s="136">
        <f>SUM(O245:O256)</f>
        <v>6459.600000000001</v>
      </c>
      <c r="P244" s="136">
        <f>SUM(P245:P256)</f>
        <v>0</v>
      </c>
      <c r="Q244" s="136">
        <f>SUM(Q245:Q256)</f>
        <v>0</v>
      </c>
      <c r="R244" s="296">
        <f>IF($A$1=A244,(J244/I244)/12*8,J244/I244)</f>
        <v>1</v>
      </c>
      <c r="S244" s="20"/>
      <c r="T244" s="259"/>
      <c r="U244" s="259"/>
      <c r="V244" s="259"/>
      <c r="W244" s="259"/>
      <c r="X244" s="259"/>
      <c r="Y244" s="259"/>
      <c r="Z244" s="259"/>
      <c r="AA244" s="259"/>
      <c r="AB244" s="259"/>
      <c r="AC244" s="259"/>
      <c r="AD244" s="259"/>
      <c r="AE244" s="259"/>
      <c r="AF244" s="259"/>
      <c r="AG244" s="259"/>
      <c r="AH244" s="259"/>
      <c r="AI244" s="259"/>
      <c r="AJ244" s="259"/>
      <c r="AK244" s="259"/>
      <c r="AL244" s="259"/>
      <c r="AM244" s="259"/>
      <c r="AN244" s="259"/>
      <c r="AO244" s="259"/>
      <c r="AP244" s="259"/>
      <c r="AQ244" s="259"/>
      <c r="AR244" s="259"/>
      <c r="AS244" s="259"/>
      <c r="AT244" s="259"/>
      <c r="AU244" s="259"/>
      <c r="AV244" s="259"/>
      <c r="AW244" s="259"/>
    </row>
    <row r="245" spans="1:49" ht="15">
      <c r="A245" s="284" t="s">
        <v>181</v>
      </c>
      <c r="B245" s="220"/>
      <c r="C245" s="285">
        <f>C243</f>
        <v>0</v>
      </c>
      <c r="D245" s="285">
        <f>D243</f>
        <v>0</v>
      </c>
      <c r="E245" s="184">
        <f aca="true" t="shared" si="182" ref="E245:E256">C245+D245</f>
        <v>0</v>
      </c>
      <c r="F245" s="285">
        <f>F243</f>
        <v>538.3</v>
      </c>
      <c r="G245" s="184">
        <f aca="true" t="shared" si="183" ref="G245:G256">SUM(E245:F245)</f>
        <v>538.3</v>
      </c>
      <c r="H245" s="285">
        <f>H243</f>
        <v>0</v>
      </c>
      <c r="I245" s="310">
        <f>I243</f>
        <v>18</v>
      </c>
      <c r="J245" s="310">
        <f>J243</f>
        <v>18</v>
      </c>
      <c r="K245" s="259"/>
      <c r="L245" s="259"/>
      <c r="M245" s="259"/>
      <c r="N245" s="264"/>
      <c r="O245" s="184">
        <f>G245/I245*J245</f>
        <v>538.3</v>
      </c>
      <c r="P245" s="184">
        <f>E245*0.18/I245*J245</f>
        <v>0</v>
      </c>
      <c r="Q245" s="184">
        <f>H245/I245*J245</f>
        <v>0</v>
      </c>
      <c r="R245" s="297"/>
      <c r="S245" s="264"/>
      <c r="T245" s="259"/>
      <c r="U245" s="259"/>
      <c r="V245" s="259"/>
      <c r="W245" s="259"/>
      <c r="X245" s="259"/>
      <c r="Y245" s="259"/>
      <c r="Z245" s="259"/>
      <c r="AA245" s="259"/>
      <c r="AB245" s="259"/>
      <c r="AC245" s="259"/>
      <c r="AD245" s="259"/>
      <c r="AE245" s="259"/>
      <c r="AF245" s="259"/>
      <c r="AG245" s="259"/>
      <c r="AH245" s="259"/>
      <c r="AI245" s="259"/>
      <c r="AJ245" s="259"/>
      <c r="AK245" s="259"/>
      <c r="AL245" s="259"/>
      <c r="AM245" s="259"/>
      <c r="AN245" s="259"/>
      <c r="AO245" s="259"/>
      <c r="AP245" s="259"/>
      <c r="AQ245" s="259"/>
      <c r="AR245" s="259"/>
      <c r="AS245" s="259"/>
      <c r="AT245" s="259"/>
      <c r="AU245" s="259"/>
      <c r="AV245" s="259"/>
      <c r="AW245" s="259"/>
    </row>
    <row r="246" spans="1:49" ht="12">
      <c r="A246" s="284" t="s">
        <v>182</v>
      </c>
      <c r="B246" s="220"/>
      <c r="C246" s="285">
        <f aca="true" t="shared" si="184" ref="C246:D256">C245</f>
        <v>0</v>
      </c>
      <c r="D246" s="285">
        <f t="shared" si="184"/>
        <v>0</v>
      </c>
      <c r="E246" s="184">
        <f t="shared" si="182"/>
        <v>0</v>
      </c>
      <c r="F246" s="285">
        <f aca="true" t="shared" si="185" ref="F246:F256">F245</f>
        <v>538.3</v>
      </c>
      <c r="G246" s="184">
        <f t="shared" si="183"/>
        <v>538.3</v>
      </c>
      <c r="H246" s="285">
        <f aca="true" t="shared" si="186" ref="H246:H256">H245</f>
        <v>0</v>
      </c>
      <c r="I246" s="310">
        <f aca="true" t="shared" si="187" ref="I246:I256">I245</f>
        <v>18</v>
      </c>
      <c r="J246" s="310">
        <f aca="true" t="shared" si="188" ref="J246:J256">J245</f>
        <v>18</v>
      </c>
      <c r="K246" s="259"/>
      <c r="L246" s="259"/>
      <c r="M246" s="259"/>
      <c r="N246" s="20"/>
      <c r="O246" s="184">
        <f aca="true" t="shared" si="189" ref="O246:O256">G246/I246*J246</f>
        <v>538.3</v>
      </c>
      <c r="P246" s="184">
        <f aca="true" t="shared" si="190" ref="P246:P256">E246*0.18/I246*J246</f>
        <v>0</v>
      </c>
      <c r="Q246" s="184">
        <f aca="true" t="shared" si="191" ref="Q246:Q256">H246/I246*J246</f>
        <v>0</v>
      </c>
      <c r="R246" s="297"/>
      <c r="S246" s="20"/>
      <c r="T246" s="259"/>
      <c r="U246" s="259"/>
      <c r="V246" s="259"/>
      <c r="W246" s="259"/>
      <c r="X246" s="259"/>
      <c r="Y246" s="259"/>
      <c r="Z246" s="259"/>
      <c r="AA246" s="259"/>
      <c r="AB246" s="259"/>
      <c r="AC246" s="259"/>
      <c r="AD246" s="259"/>
      <c r="AE246" s="259"/>
      <c r="AF246" s="259"/>
      <c r="AG246" s="259"/>
      <c r="AH246" s="259"/>
      <c r="AI246" s="259"/>
      <c r="AJ246" s="259"/>
      <c r="AK246" s="259"/>
      <c r="AL246" s="259"/>
      <c r="AM246" s="259"/>
      <c r="AN246" s="259"/>
      <c r="AO246" s="259"/>
      <c r="AP246" s="259"/>
      <c r="AQ246" s="259"/>
      <c r="AR246" s="259"/>
      <c r="AS246" s="259"/>
      <c r="AT246" s="259"/>
      <c r="AU246" s="259"/>
      <c r="AV246" s="259"/>
      <c r="AW246" s="259"/>
    </row>
    <row r="247" spans="1:49" ht="15">
      <c r="A247" s="284" t="s">
        <v>183</v>
      </c>
      <c r="B247" s="220"/>
      <c r="C247" s="285">
        <f t="shared" si="184"/>
        <v>0</v>
      </c>
      <c r="D247" s="285">
        <f t="shared" si="184"/>
        <v>0</v>
      </c>
      <c r="E247" s="184">
        <f t="shared" si="182"/>
        <v>0</v>
      </c>
      <c r="F247" s="285">
        <f t="shared" si="185"/>
        <v>538.3</v>
      </c>
      <c r="G247" s="184">
        <f t="shared" si="183"/>
        <v>538.3</v>
      </c>
      <c r="H247" s="285">
        <f t="shared" si="186"/>
        <v>0</v>
      </c>
      <c r="I247" s="310">
        <f t="shared" si="187"/>
        <v>18</v>
      </c>
      <c r="J247" s="310">
        <f t="shared" si="188"/>
        <v>18</v>
      </c>
      <c r="K247" s="259"/>
      <c r="L247" s="259"/>
      <c r="M247" s="259"/>
      <c r="N247" s="264"/>
      <c r="O247" s="184">
        <f t="shared" si="189"/>
        <v>538.3</v>
      </c>
      <c r="P247" s="184">
        <f t="shared" si="190"/>
        <v>0</v>
      </c>
      <c r="Q247" s="184">
        <f t="shared" si="191"/>
        <v>0</v>
      </c>
      <c r="R247" s="297"/>
      <c r="S247" s="264"/>
      <c r="T247" s="259"/>
      <c r="U247" s="259"/>
      <c r="V247" s="259"/>
      <c r="W247" s="259"/>
      <c r="X247" s="259"/>
      <c r="Y247" s="259"/>
      <c r="Z247" s="259"/>
      <c r="AA247" s="259"/>
      <c r="AB247" s="259"/>
      <c r="AC247" s="259"/>
      <c r="AD247" s="259"/>
      <c r="AE247" s="259"/>
      <c r="AF247" s="259"/>
      <c r="AG247" s="259"/>
      <c r="AH247" s="259"/>
      <c r="AI247" s="259"/>
      <c r="AJ247" s="259"/>
      <c r="AK247" s="259"/>
      <c r="AL247" s="259"/>
      <c r="AM247" s="259"/>
      <c r="AN247" s="259"/>
      <c r="AO247" s="259"/>
      <c r="AP247" s="259"/>
      <c r="AQ247" s="259"/>
      <c r="AR247" s="259"/>
      <c r="AS247" s="259"/>
      <c r="AT247" s="259"/>
      <c r="AU247" s="259"/>
      <c r="AV247" s="259"/>
      <c r="AW247" s="259"/>
    </row>
    <row r="248" spans="1:49" ht="12">
      <c r="A248" s="284" t="s">
        <v>184</v>
      </c>
      <c r="B248" s="220"/>
      <c r="C248" s="285">
        <f t="shared" si="184"/>
        <v>0</v>
      </c>
      <c r="D248" s="285">
        <f t="shared" si="184"/>
        <v>0</v>
      </c>
      <c r="E248" s="184">
        <f t="shared" si="182"/>
        <v>0</v>
      </c>
      <c r="F248" s="285">
        <f t="shared" si="185"/>
        <v>538.3</v>
      </c>
      <c r="G248" s="184">
        <f t="shared" si="183"/>
        <v>538.3</v>
      </c>
      <c r="H248" s="285">
        <f t="shared" si="186"/>
        <v>0</v>
      </c>
      <c r="I248" s="310">
        <f t="shared" si="187"/>
        <v>18</v>
      </c>
      <c r="J248" s="310">
        <f t="shared" si="188"/>
        <v>18</v>
      </c>
      <c r="K248" s="259"/>
      <c r="L248" s="259"/>
      <c r="M248" s="259"/>
      <c r="N248" s="20"/>
      <c r="O248" s="184">
        <f t="shared" si="189"/>
        <v>538.3</v>
      </c>
      <c r="P248" s="184">
        <f t="shared" si="190"/>
        <v>0</v>
      </c>
      <c r="Q248" s="184">
        <f t="shared" si="191"/>
        <v>0</v>
      </c>
      <c r="R248" s="297"/>
      <c r="S248" s="20"/>
      <c r="T248" s="259"/>
      <c r="U248" s="259"/>
      <c r="V248" s="259"/>
      <c r="W248" s="259"/>
      <c r="X248" s="259"/>
      <c r="Y248" s="259"/>
      <c r="Z248" s="259"/>
      <c r="AA248" s="259"/>
      <c r="AB248" s="259"/>
      <c r="AC248" s="259"/>
      <c r="AD248" s="259"/>
      <c r="AE248" s="259"/>
      <c r="AF248" s="259"/>
      <c r="AG248" s="259"/>
      <c r="AH248" s="259"/>
      <c r="AI248" s="259"/>
      <c r="AJ248" s="259"/>
      <c r="AK248" s="259"/>
      <c r="AL248" s="259"/>
      <c r="AM248" s="259"/>
      <c r="AN248" s="259"/>
      <c r="AO248" s="259"/>
      <c r="AP248" s="259"/>
      <c r="AQ248" s="259"/>
      <c r="AR248" s="259"/>
      <c r="AS248" s="259"/>
      <c r="AT248" s="259"/>
      <c r="AU248" s="259"/>
      <c r="AV248" s="259"/>
      <c r="AW248" s="259"/>
    </row>
    <row r="249" spans="1:49" ht="15">
      <c r="A249" s="284" t="s">
        <v>185</v>
      </c>
      <c r="B249" s="220"/>
      <c r="C249" s="285">
        <f t="shared" si="184"/>
        <v>0</v>
      </c>
      <c r="D249" s="285">
        <f t="shared" si="184"/>
        <v>0</v>
      </c>
      <c r="E249" s="184">
        <f t="shared" si="182"/>
        <v>0</v>
      </c>
      <c r="F249" s="285">
        <f t="shared" si="185"/>
        <v>538.3</v>
      </c>
      <c r="G249" s="184">
        <f t="shared" si="183"/>
        <v>538.3</v>
      </c>
      <c r="H249" s="285">
        <f t="shared" si="186"/>
        <v>0</v>
      </c>
      <c r="I249" s="310">
        <f t="shared" si="187"/>
        <v>18</v>
      </c>
      <c r="J249" s="310">
        <f t="shared" si="188"/>
        <v>18</v>
      </c>
      <c r="K249" s="259"/>
      <c r="L249" s="259"/>
      <c r="M249" s="259"/>
      <c r="N249" s="264"/>
      <c r="O249" s="184">
        <f t="shared" si="189"/>
        <v>538.3</v>
      </c>
      <c r="P249" s="184">
        <f t="shared" si="190"/>
        <v>0</v>
      </c>
      <c r="Q249" s="184">
        <f t="shared" si="191"/>
        <v>0</v>
      </c>
      <c r="R249" s="297"/>
      <c r="S249" s="264"/>
      <c r="T249" s="259"/>
      <c r="U249" s="259"/>
      <c r="V249" s="259"/>
      <c r="W249" s="259"/>
      <c r="X249" s="259"/>
      <c r="Y249" s="259"/>
      <c r="Z249" s="259"/>
      <c r="AA249" s="259"/>
      <c r="AB249" s="259"/>
      <c r="AC249" s="259"/>
      <c r="AD249" s="259"/>
      <c r="AE249" s="259"/>
      <c r="AF249" s="259"/>
      <c r="AG249" s="259"/>
      <c r="AH249" s="259"/>
      <c r="AI249" s="259"/>
      <c r="AJ249" s="259"/>
      <c r="AK249" s="259"/>
      <c r="AL249" s="259"/>
      <c r="AM249" s="259"/>
      <c r="AN249" s="259"/>
      <c r="AO249" s="259"/>
      <c r="AP249" s="259"/>
      <c r="AQ249" s="259"/>
      <c r="AR249" s="259"/>
      <c r="AS249" s="259"/>
      <c r="AT249" s="259"/>
      <c r="AU249" s="259"/>
      <c r="AV249" s="259"/>
      <c r="AW249" s="259"/>
    </row>
    <row r="250" spans="1:49" ht="12">
      <c r="A250" s="284" t="s">
        <v>186</v>
      </c>
      <c r="B250" s="220"/>
      <c r="C250" s="285">
        <f t="shared" si="184"/>
        <v>0</v>
      </c>
      <c r="D250" s="285">
        <f t="shared" si="184"/>
        <v>0</v>
      </c>
      <c r="E250" s="184">
        <f t="shared" si="182"/>
        <v>0</v>
      </c>
      <c r="F250" s="285">
        <f t="shared" si="185"/>
        <v>538.3</v>
      </c>
      <c r="G250" s="184">
        <f t="shared" si="183"/>
        <v>538.3</v>
      </c>
      <c r="H250" s="285">
        <f t="shared" si="186"/>
        <v>0</v>
      </c>
      <c r="I250" s="310">
        <f t="shared" si="187"/>
        <v>18</v>
      </c>
      <c r="J250" s="310">
        <f t="shared" si="188"/>
        <v>18</v>
      </c>
      <c r="K250" s="259"/>
      <c r="L250" s="259"/>
      <c r="M250" s="259"/>
      <c r="N250" s="20"/>
      <c r="O250" s="184">
        <f t="shared" si="189"/>
        <v>538.3</v>
      </c>
      <c r="P250" s="184">
        <f t="shared" si="190"/>
        <v>0</v>
      </c>
      <c r="Q250" s="184">
        <f t="shared" si="191"/>
        <v>0</v>
      </c>
      <c r="R250" s="297"/>
      <c r="S250" s="20"/>
      <c r="T250" s="259"/>
      <c r="U250" s="259"/>
      <c r="V250" s="259"/>
      <c r="W250" s="259"/>
      <c r="X250" s="259"/>
      <c r="Y250" s="259"/>
      <c r="Z250" s="259"/>
      <c r="AA250" s="259"/>
      <c r="AB250" s="259"/>
      <c r="AC250" s="259"/>
      <c r="AD250" s="259"/>
      <c r="AE250" s="259"/>
      <c r="AF250" s="259"/>
      <c r="AG250" s="259"/>
      <c r="AH250" s="259"/>
      <c r="AI250" s="259"/>
      <c r="AJ250" s="259"/>
      <c r="AK250" s="259"/>
      <c r="AL250" s="259"/>
      <c r="AM250" s="259"/>
      <c r="AN250" s="259"/>
      <c r="AO250" s="259"/>
      <c r="AP250" s="259"/>
      <c r="AQ250" s="259"/>
      <c r="AR250" s="259"/>
      <c r="AS250" s="259"/>
      <c r="AT250" s="259"/>
      <c r="AU250" s="259"/>
      <c r="AV250" s="259"/>
      <c r="AW250" s="259"/>
    </row>
    <row r="251" spans="1:49" ht="15">
      <c r="A251" s="284" t="s">
        <v>187</v>
      </c>
      <c r="B251" s="220"/>
      <c r="C251" s="285">
        <f t="shared" si="184"/>
        <v>0</v>
      </c>
      <c r="D251" s="285">
        <f t="shared" si="184"/>
        <v>0</v>
      </c>
      <c r="E251" s="184">
        <f t="shared" si="182"/>
        <v>0</v>
      </c>
      <c r="F251" s="285">
        <f t="shared" si="185"/>
        <v>538.3</v>
      </c>
      <c r="G251" s="184">
        <f t="shared" si="183"/>
        <v>538.3</v>
      </c>
      <c r="H251" s="285">
        <f t="shared" si="186"/>
        <v>0</v>
      </c>
      <c r="I251" s="310">
        <f t="shared" si="187"/>
        <v>18</v>
      </c>
      <c r="J251" s="310">
        <f t="shared" si="188"/>
        <v>18</v>
      </c>
      <c r="K251" s="259"/>
      <c r="L251" s="259"/>
      <c r="M251" s="259"/>
      <c r="N251" s="264"/>
      <c r="O251" s="184">
        <f t="shared" si="189"/>
        <v>538.3</v>
      </c>
      <c r="P251" s="184">
        <f t="shared" si="190"/>
        <v>0</v>
      </c>
      <c r="Q251" s="184">
        <f t="shared" si="191"/>
        <v>0</v>
      </c>
      <c r="R251" s="297"/>
      <c r="S251" s="264"/>
      <c r="T251" s="259"/>
      <c r="U251" s="259"/>
      <c r="V251" s="259"/>
      <c r="W251" s="259"/>
      <c r="X251" s="259"/>
      <c r="Y251" s="259"/>
      <c r="Z251" s="259"/>
      <c r="AA251" s="259"/>
      <c r="AB251" s="259"/>
      <c r="AC251" s="259"/>
      <c r="AD251" s="259"/>
      <c r="AE251" s="259"/>
      <c r="AF251" s="259"/>
      <c r="AG251" s="259"/>
      <c r="AH251" s="259"/>
      <c r="AI251" s="259"/>
      <c r="AJ251" s="259"/>
      <c r="AK251" s="259"/>
      <c r="AL251" s="259"/>
      <c r="AM251" s="259"/>
      <c r="AN251" s="259"/>
      <c r="AO251" s="259"/>
      <c r="AP251" s="259"/>
      <c r="AQ251" s="259"/>
      <c r="AR251" s="259"/>
      <c r="AS251" s="259"/>
      <c r="AT251" s="259"/>
      <c r="AU251" s="259"/>
      <c r="AV251" s="259"/>
      <c r="AW251" s="259"/>
    </row>
    <row r="252" spans="1:49" ht="12">
      <c r="A252" s="284" t="s">
        <v>188</v>
      </c>
      <c r="B252" s="220"/>
      <c r="C252" s="285">
        <f t="shared" si="184"/>
        <v>0</v>
      </c>
      <c r="D252" s="285">
        <f t="shared" si="184"/>
        <v>0</v>
      </c>
      <c r="E252" s="184">
        <f t="shared" si="182"/>
        <v>0</v>
      </c>
      <c r="F252" s="285">
        <f t="shared" si="185"/>
        <v>538.3</v>
      </c>
      <c r="G252" s="184">
        <f t="shared" si="183"/>
        <v>538.3</v>
      </c>
      <c r="H252" s="285">
        <f t="shared" si="186"/>
        <v>0</v>
      </c>
      <c r="I252" s="310">
        <f t="shared" si="187"/>
        <v>18</v>
      </c>
      <c r="J252" s="310">
        <f t="shared" si="188"/>
        <v>18</v>
      </c>
      <c r="K252" s="259"/>
      <c r="L252" s="259"/>
      <c r="M252" s="259"/>
      <c r="N252" s="20"/>
      <c r="O252" s="184">
        <f t="shared" si="189"/>
        <v>538.3</v>
      </c>
      <c r="P252" s="184">
        <f t="shared" si="190"/>
        <v>0</v>
      </c>
      <c r="Q252" s="184">
        <f t="shared" si="191"/>
        <v>0</v>
      </c>
      <c r="R252" s="297"/>
      <c r="S252" s="20"/>
      <c r="T252" s="259"/>
      <c r="U252" s="259"/>
      <c r="V252" s="259"/>
      <c r="W252" s="259"/>
      <c r="X252" s="259"/>
      <c r="Y252" s="259"/>
      <c r="Z252" s="259"/>
      <c r="AA252" s="259"/>
      <c r="AB252" s="259"/>
      <c r="AC252" s="259"/>
      <c r="AD252" s="259"/>
      <c r="AE252" s="259"/>
      <c r="AF252" s="259"/>
      <c r="AG252" s="259"/>
      <c r="AH252" s="259"/>
      <c r="AI252" s="259"/>
      <c r="AJ252" s="259"/>
      <c r="AK252" s="259"/>
      <c r="AL252" s="259"/>
      <c r="AM252" s="259"/>
      <c r="AN252" s="259"/>
      <c r="AO252" s="259"/>
      <c r="AP252" s="259"/>
      <c r="AQ252" s="259"/>
      <c r="AR252" s="259"/>
      <c r="AS252" s="259"/>
      <c r="AT252" s="259"/>
      <c r="AU252" s="259"/>
      <c r="AV252" s="259"/>
      <c r="AW252" s="259"/>
    </row>
    <row r="253" spans="1:49" ht="15">
      <c r="A253" s="284" t="s">
        <v>189</v>
      </c>
      <c r="B253" s="220"/>
      <c r="C253" s="285">
        <f t="shared" si="184"/>
        <v>0</v>
      </c>
      <c r="D253" s="285">
        <f t="shared" si="184"/>
        <v>0</v>
      </c>
      <c r="E253" s="184">
        <f t="shared" si="182"/>
        <v>0</v>
      </c>
      <c r="F253" s="285">
        <f t="shared" si="185"/>
        <v>538.3</v>
      </c>
      <c r="G253" s="184">
        <f t="shared" si="183"/>
        <v>538.3</v>
      </c>
      <c r="H253" s="285">
        <f t="shared" si="186"/>
        <v>0</v>
      </c>
      <c r="I253" s="310">
        <f t="shared" si="187"/>
        <v>18</v>
      </c>
      <c r="J253" s="310">
        <f t="shared" si="188"/>
        <v>18</v>
      </c>
      <c r="K253" s="259"/>
      <c r="L253" s="259"/>
      <c r="M253" s="259"/>
      <c r="N253" s="264"/>
      <c r="O253" s="184">
        <f t="shared" si="189"/>
        <v>538.3</v>
      </c>
      <c r="P253" s="184">
        <f t="shared" si="190"/>
        <v>0</v>
      </c>
      <c r="Q253" s="184">
        <f t="shared" si="191"/>
        <v>0</v>
      </c>
      <c r="R253" s="297"/>
      <c r="S253" s="264"/>
      <c r="T253" s="259"/>
      <c r="U253" s="259"/>
      <c r="V253" s="259"/>
      <c r="W253" s="259"/>
      <c r="X253" s="259"/>
      <c r="Y253" s="259"/>
      <c r="Z253" s="259"/>
      <c r="AA253" s="259"/>
      <c r="AB253" s="259"/>
      <c r="AC253" s="259"/>
      <c r="AD253" s="259"/>
      <c r="AE253" s="259"/>
      <c r="AF253" s="259"/>
      <c r="AG253" s="259"/>
      <c r="AH253" s="259"/>
      <c r="AI253" s="259"/>
      <c r="AJ253" s="259"/>
      <c r="AK253" s="259"/>
      <c r="AL253" s="259"/>
      <c r="AM253" s="259"/>
      <c r="AN253" s="259"/>
      <c r="AO253" s="259"/>
      <c r="AP253" s="259"/>
      <c r="AQ253" s="259"/>
      <c r="AR253" s="259"/>
      <c r="AS253" s="259"/>
      <c r="AT253" s="259"/>
      <c r="AU253" s="259"/>
      <c r="AV253" s="259"/>
      <c r="AW253" s="259"/>
    </row>
    <row r="254" spans="1:49" ht="12">
      <c r="A254" s="284" t="s">
        <v>190</v>
      </c>
      <c r="B254" s="220"/>
      <c r="C254" s="285">
        <f t="shared" si="184"/>
        <v>0</v>
      </c>
      <c r="D254" s="285">
        <f t="shared" si="184"/>
        <v>0</v>
      </c>
      <c r="E254" s="184">
        <f t="shared" si="182"/>
        <v>0</v>
      </c>
      <c r="F254" s="285">
        <f t="shared" si="185"/>
        <v>538.3</v>
      </c>
      <c r="G254" s="184">
        <f t="shared" si="183"/>
        <v>538.3</v>
      </c>
      <c r="H254" s="285">
        <f t="shared" si="186"/>
        <v>0</v>
      </c>
      <c r="I254" s="310">
        <f t="shared" si="187"/>
        <v>18</v>
      </c>
      <c r="J254" s="310">
        <f t="shared" si="188"/>
        <v>18</v>
      </c>
      <c r="K254" s="259"/>
      <c r="L254" s="259"/>
      <c r="M254" s="259"/>
      <c r="N254" s="20"/>
      <c r="O254" s="184">
        <f t="shared" si="189"/>
        <v>538.3</v>
      </c>
      <c r="P254" s="184">
        <f t="shared" si="190"/>
        <v>0</v>
      </c>
      <c r="Q254" s="184">
        <f t="shared" si="191"/>
        <v>0</v>
      </c>
      <c r="R254" s="297"/>
      <c r="S254" s="20"/>
      <c r="T254" s="259"/>
      <c r="U254" s="259"/>
      <c r="V254" s="259"/>
      <c r="W254" s="259"/>
      <c r="X254" s="259"/>
      <c r="Y254" s="259"/>
      <c r="Z254" s="259"/>
      <c r="AA254" s="259"/>
      <c r="AB254" s="259"/>
      <c r="AC254" s="259"/>
      <c r="AD254" s="259"/>
      <c r="AE254" s="259"/>
      <c r="AF254" s="259"/>
      <c r="AG254" s="259"/>
      <c r="AH254" s="259"/>
      <c r="AI254" s="259"/>
      <c r="AJ254" s="259"/>
      <c r="AK254" s="259"/>
      <c r="AL254" s="259"/>
      <c r="AM254" s="259"/>
      <c r="AN254" s="259"/>
      <c r="AO254" s="259"/>
      <c r="AP254" s="259"/>
      <c r="AQ254" s="259"/>
      <c r="AR254" s="259"/>
      <c r="AS254" s="259"/>
      <c r="AT254" s="259"/>
      <c r="AU254" s="259"/>
      <c r="AV254" s="259"/>
      <c r="AW254" s="259"/>
    </row>
    <row r="255" spans="1:49" ht="15">
      <c r="A255" s="284" t="s">
        <v>191</v>
      </c>
      <c r="B255" s="220"/>
      <c r="C255" s="285">
        <f t="shared" si="184"/>
        <v>0</v>
      </c>
      <c r="D255" s="285">
        <f t="shared" si="184"/>
        <v>0</v>
      </c>
      <c r="E255" s="184">
        <f t="shared" si="182"/>
        <v>0</v>
      </c>
      <c r="F255" s="285">
        <f t="shared" si="185"/>
        <v>538.3</v>
      </c>
      <c r="G255" s="184">
        <f t="shared" si="183"/>
        <v>538.3</v>
      </c>
      <c r="H255" s="285">
        <f t="shared" si="186"/>
        <v>0</v>
      </c>
      <c r="I255" s="310">
        <f t="shared" si="187"/>
        <v>18</v>
      </c>
      <c r="J255" s="310">
        <f t="shared" si="188"/>
        <v>18</v>
      </c>
      <c r="K255" s="259"/>
      <c r="L255" s="259"/>
      <c r="M255" s="259"/>
      <c r="N255" s="264"/>
      <c r="O255" s="184">
        <f t="shared" si="189"/>
        <v>538.3</v>
      </c>
      <c r="P255" s="184">
        <f t="shared" si="190"/>
        <v>0</v>
      </c>
      <c r="Q255" s="184">
        <f t="shared" si="191"/>
        <v>0</v>
      </c>
      <c r="R255" s="297"/>
      <c r="S255" s="264"/>
      <c r="T255" s="259"/>
      <c r="U255" s="259"/>
      <c r="V255" s="259"/>
      <c r="W255" s="259"/>
      <c r="X255" s="259"/>
      <c r="Y255" s="259"/>
      <c r="Z255" s="259"/>
      <c r="AA255" s="259"/>
      <c r="AB255" s="259"/>
      <c r="AC255" s="259"/>
      <c r="AD255" s="259"/>
      <c r="AE255" s="259"/>
      <c r="AF255" s="259"/>
      <c r="AG255" s="259"/>
      <c r="AH255" s="259"/>
      <c r="AI255" s="259"/>
      <c r="AJ255" s="259"/>
      <c r="AK255" s="259"/>
      <c r="AL255" s="259"/>
      <c r="AM255" s="259"/>
      <c r="AN255" s="259"/>
      <c r="AO255" s="259"/>
      <c r="AP255" s="259"/>
      <c r="AQ255" s="259"/>
      <c r="AR255" s="259"/>
      <c r="AS255" s="259"/>
      <c r="AT255" s="259"/>
      <c r="AU255" s="259"/>
      <c r="AV255" s="259"/>
      <c r="AW255" s="259"/>
    </row>
    <row r="256" spans="1:49" ht="12">
      <c r="A256" s="284" t="s">
        <v>192</v>
      </c>
      <c r="B256" s="220"/>
      <c r="C256" s="285">
        <f t="shared" si="184"/>
        <v>0</v>
      </c>
      <c r="D256" s="285">
        <f t="shared" si="184"/>
        <v>0</v>
      </c>
      <c r="E256" s="184">
        <f t="shared" si="182"/>
        <v>0</v>
      </c>
      <c r="F256" s="285">
        <f t="shared" si="185"/>
        <v>538.3</v>
      </c>
      <c r="G256" s="184">
        <f t="shared" si="183"/>
        <v>538.3</v>
      </c>
      <c r="H256" s="285">
        <f t="shared" si="186"/>
        <v>0</v>
      </c>
      <c r="I256" s="310">
        <f t="shared" si="187"/>
        <v>18</v>
      </c>
      <c r="J256" s="310">
        <f t="shared" si="188"/>
        <v>18</v>
      </c>
      <c r="K256" s="259"/>
      <c r="L256" s="259"/>
      <c r="M256" s="259"/>
      <c r="N256" s="20"/>
      <c r="O256" s="184">
        <f t="shared" si="189"/>
        <v>538.3</v>
      </c>
      <c r="P256" s="184">
        <f t="shared" si="190"/>
        <v>0</v>
      </c>
      <c r="Q256" s="184">
        <f t="shared" si="191"/>
        <v>0</v>
      </c>
      <c r="R256" s="297"/>
      <c r="S256" s="20"/>
      <c r="T256" s="259"/>
      <c r="U256" s="259"/>
      <c r="V256" s="259"/>
      <c r="W256" s="259"/>
      <c r="X256" s="259"/>
      <c r="Y256" s="259"/>
      <c r="Z256" s="259"/>
      <c r="AA256" s="259"/>
      <c r="AB256" s="259"/>
      <c r="AC256" s="259"/>
      <c r="AD256" s="259"/>
      <c r="AE256" s="259"/>
      <c r="AF256" s="259"/>
      <c r="AG256" s="259"/>
      <c r="AH256" s="259"/>
      <c r="AI256" s="259"/>
      <c r="AJ256" s="259"/>
      <c r="AK256" s="259"/>
      <c r="AL256" s="259"/>
      <c r="AM256" s="259"/>
      <c r="AN256" s="259"/>
      <c r="AO256" s="259"/>
      <c r="AP256" s="259"/>
      <c r="AQ256" s="259"/>
      <c r="AR256" s="259"/>
      <c r="AS256" s="259"/>
      <c r="AT256" s="259"/>
      <c r="AU256" s="259"/>
      <c r="AV256" s="259"/>
      <c r="AW256" s="259"/>
    </row>
    <row r="257" spans="1:49" ht="15">
      <c r="A257" s="282">
        <f>A244+1</f>
        <v>2012</v>
      </c>
      <c r="B257" s="28"/>
      <c r="C257" s="28"/>
      <c r="D257" s="28"/>
      <c r="E257" s="306">
        <f>SUM(E258:E269)</f>
        <v>0</v>
      </c>
      <c r="F257" s="287"/>
      <c r="G257" s="283">
        <f>SUM(G258:G269)</f>
        <v>6459.600000000001</v>
      </c>
      <c r="H257" s="309">
        <f>SUM(H258:H269)</f>
        <v>0</v>
      </c>
      <c r="I257" s="311">
        <f>SUM(I258:I269)</f>
        <v>216</v>
      </c>
      <c r="J257" s="311">
        <f>SUM(J258:J269)</f>
        <v>216</v>
      </c>
      <c r="K257" s="259"/>
      <c r="L257" s="259"/>
      <c r="M257" s="259"/>
      <c r="N257" s="264"/>
      <c r="O257" s="136">
        <f>SUM(O258:O269)</f>
        <v>6459.600000000001</v>
      </c>
      <c r="P257" s="136">
        <f>SUM(P258:P269)</f>
        <v>0</v>
      </c>
      <c r="Q257" s="136">
        <f>SUM(Q258:Q269)</f>
        <v>0</v>
      </c>
      <c r="R257" s="296">
        <f>IF($A$1=A257,(J257/I257)/12*8,J257/I257)</f>
        <v>1</v>
      </c>
      <c r="S257" s="264"/>
      <c r="T257" s="259"/>
      <c r="U257" s="259"/>
      <c r="V257" s="259"/>
      <c r="W257" s="259"/>
      <c r="X257" s="259"/>
      <c r="Y257" s="259"/>
      <c r="Z257" s="259"/>
      <c r="AA257" s="259"/>
      <c r="AB257" s="259"/>
      <c r="AC257" s="259"/>
      <c r="AD257" s="259"/>
      <c r="AE257" s="259"/>
      <c r="AF257" s="259"/>
      <c r="AG257" s="259"/>
      <c r="AH257" s="259"/>
      <c r="AI257" s="259"/>
      <c r="AJ257" s="259"/>
      <c r="AK257" s="259"/>
      <c r="AL257" s="259"/>
      <c r="AM257" s="259"/>
      <c r="AN257" s="259"/>
      <c r="AO257" s="259"/>
      <c r="AP257" s="259"/>
      <c r="AQ257" s="259"/>
      <c r="AR257" s="259"/>
      <c r="AS257" s="259"/>
      <c r="AT257" s="259"/>
      <c r="AU257" s="259"/>
      <c r="AV257" s="259"/>
      <c r="AW257" s="259"/>
    </row>
    <row r="258" spans="1:49" ht="12">
      <c r="A258" s="284" t="s">
        <v>181</v>
      </c>
      <c r="B258" s="220"/>
      <c r="C258" s="285">
        <f>C256</f>
        <v>0</v>
      </c>
      <c r="D258" s="285">
        <f>D256</f>
        <v>0</v>
      </c>
      <c r="E258" s="184">
        <f aca="true" t="shared" si="192" ref="E258:E269">C258+D258</f>
        <v>0</v>
      </c>
      <c r="F258" s="285">
        <f>F256</f>
        <v>538.3</v>
      </c>
      <c r="G258" s="184">
        <f aca="true" t="shared" si="193" ref="G258:G269">SUM(E258:F258)</f>
        <v>538.3</v>
      </c>
      <c r="H258" s="285">
        <f>H256</f>
        <v>0</v>
      </c>
      <c r="I258" s="310">
        <f>I256</f>
        <v>18</v>
      </c>
      <c r="J258" s="310">
        <f>J256</f>
        <v>18</v>
      </c>
      <c r="K258" s="259"/>
      <c r="L258" s="259"/>
      <c r="M258" s="259"/>
      <c r="N258" s="20"/>
      <c r="O258" s="184">
        <f>G258/I258*J258</f>
        <v>538.3</v>
      </c>
      <c r="P258" s="184">
        <f>E258*0.18/I258*J258</f>
        <v>0</v>
      </c>
      <c r="Q258" s="184">
        <f>H258/I258*J258</f>
        <v>0</v>
      </c>
      <c r="R258" s="297"/>
      <c r="S258" s="20"/>
      <c r="T258" s="259"/>
      <c r="U258" s="259"/>
      <c r="V258" s="259"/>
      <c r="W258" s="259"/>
      <c r="X258" s="259"/>
      <c r="Y258" s="259"/>
      <c r="Z258" s="259"/>
      <c r="AA258" s="259"/>
      <c r="AB258" s="259"/>
      <c r="AC258" s="259"/>
      <c r="AD258" s="259"/>
      <c r="AE258" s="259"/>
      <c r="AF258" s="259"/>
      <c r="AG258" s="259"/>
      <c r="AH258" s="259"/>
      <c r="AI258" s="259"/>
      <c r="AJ258" s="259"/>
      <c r="AK258" s="259"/>
      <c r="AL258" s="259"/>
      <c r="AM258" s="259"/>
      <c r="AN258" s="259"/>
      <c r="AO258" s="259"/>
      <c r="AP258" s="259"/>
      <c r="AQ258" s="259"/>
      <c r="AR258" s="259"/>
      <c r="AS258" s="259"/>
      <c r="AT258" s="259"/>
      <c r="AU258" s="259"/>
      <c r="AV258" s="259"/>
      <c r="AW258" s="259"/>
    </row>
    <row r="259" spans="1:49" ht="15">
      <c r="A259" s="284" t="s">
        <v>182</v>
      </c>
      <c r="B259" s="220"/>
      <c r="C259" s="285">
        <f aca="true" t="shared" si="194" ref="C259:D269">C258</f>
        <v>0</v>
      </c>
      <c r="D259" s="285">
        <f t="shared" si="194"/>
        <v>0</v>
      </c>
      <c r="E259" s="184">
        <f t="shared" si="192"/>
        <v>0</v>
      </c>
      <c r="F259" s="285">
        <f aca="true" t="shared" si="195" ref="F259:F266">F258</f>
        <v>538.3</v>
      </c>
      <c r="G259" s="184">
        <f t="shared" si="193"/>
        <v>538.3</v>
      </c>
      <c r="H259" s="285">
        <f aca="true" t="shared" si="196" ref="H259:H269">H258</f>
        <v>0</v>
      </c>
      <c r="I259" s="310">
        <f aca="true" t="shared" si="197" ref="I259:I269">I258</f>
        <v>18</v>
      </c>
      <c r="J259" s="310">
        <f aca="true" t="shared" si="198" ref="J259:J269">J258</f>
        <v>18</v>
      </c>
      <c r="K259" s="259"/>
      <c r="L259" s="259"/>
      <c r="M259" s="259"/>
      <c r="N259" s="264"/>
      <c r="O259" s="184">
        <f aca="true" t="shared" si="199" ref="O259:O269">G259/I259*J259</f>
        <v>538.3</v>
      </c>
      <c r="P259" s="184">
        <f aca="true" t="shared" si="200" ref="P259:P269">E259*0.18/I259*J259</f>
        <v>0</v>
      </c>
      <c r="Q259" s="184">
        <f aca="true" t="shared" si="201" ref="Q259:Q269">H259/I259*J259</f>
        <v>0</v>
      </c>
      <c r="R259" s="297"/>
      <c r="S259" s="264"/>
      <c r="T259" s="259"/>
      <c r="U259" s="259"/>
      <c r="V259" s="259"/>
      <c r="W259" s="259"/>
      <c r="X259" s="259"/>
      <c r="Y259" s="259"/>
      <c r="Z259" s="259"/>
      <c r="AA259" s="259"/>
      <c r="AB259" s="259"/>
      <c r="AC259" s="259"/>
      <c r="AD259" s="259"/>
      <c r="AE259" s="259"/>
      <c r="AF259" s="259"/>
      <c r="AG259" s="259"/>
      <c r="AH259" s="259"/>
      <c r="AI259" s="259"/>
      <c r="AJ259" s="259"/>
      <c r="AK259" s="259"/>
      <c r="AL259" s="259"/>
      <c r="AM259" s="259"/>
      <c r="AN259" s="259"/>
      <c r="AO259" s="259"/>
      <c r="AP259" s="259"/>
      <c r="AQ259" s="259"/>
      <c r="AR259" s="259"/>
      <c r="AS259" s="259"/>
      <c r="AT259" s="259"/>
      <c r="AU259" s="259"/>
      <c r="AV259" s="259"/>
      <c r="AW259" s="259"/>
    </row>
    <row r="260" spans="1:49" ht="12">
      <c r="A260" s="284" t="s">
        <v>183</v>
      </c>
      <c r="B260" s="220"/>
      <c r="C260" s="285">
        <f t="shared" si="194"/>
        <v>0</v>
      </c>
      <c r="D260" s="285">
        <f t="shared" si="194"/>
        <v>0</v>
      </c>
      <c r="E260" s="184">
        <f t="shared" si="192"/>
        <v>0</v>
      </c>
      <c r="F260" s="285">
        <f t="shared" si="195"/>
        <v>538.3</v>
      </c>
      <c r="G260" s="184">
        <f t="shared" si="193"/>
        <v>538.3</v>
      </c>
      <c r="H260" s="285">
        <f t="shared" si="196"/>
        <v>0</v>
      </c>
      <c r="I260" s="310">
        <f t="shared" si="197"/>
        <v>18</v>
      </c>
      <c r="J260" s="310">
        <f t="shared" si="198"/>
        <v>18</v>
      </c>
      <c r="K260" s="259"/>
      <c r="L260" s="259"/>
      <c r="M260" s="259"/>
      <c r="N260" s="20"/>
      <c r="O260" s="184">
        <f t="shared" si="199"/>
        <v>538.3</v>
      </c>
      <c r="P260" s="184">
        <f t="shared" si="200"/>
        <v>0</v>
      </c>
      <c r="Q260" s="184">
        <f t="shared" si="201"/>
        <v>0</v>
      </c>
      <c r="R260" s="297"/>
      <c r="S260" s="20"/>
      <c r="T260" s="259"/>
      <c r="U260" s="259"/>
      <c r="V260" s="259"/>
      <c r="W260" s="259"/>
      <c r="X260" s="259"/>
      <c r="Y260" s="259"/>
      <c r="Z260" s="259"/>
      <c r="AA260" s="259"/>
      <c r="AB260" s="259"/>
      <c r="AC260" s="259"/>
      <c r="AD260" s="259"/>
      <c r="AE260" s="259"/>
      <c r="AF260" s="259"/>
      <c r="AG260" s="259"/>
      <c r="AH260" s="259"/>
      <c r="AI260" s="259"/>
      <c r="AJ260" s="259"/>
      <c r="AK260" s="259"/>
      <c r="AL260" s="259"/>
      <c r="AM260" s="259"/>
      <c r="AN260" s="259"/>
      <c r="AO260" s="259"/>
      <c r="AP260" s="259"/>
      <c r="AQ260" s="259"/>
      <c r="AR260" s="259"/>
      <c r="AS260" s="259"/>
      <c r="AT260" s="259"/>
      <c r="AU260" s="259"/>
      <c r="AV260" s="259"/>
      <c r="AW260" s="259"/>
    </row>
    <row r="261" spans="1:49" ht="15">
      <c r="A261" s="284" t="s">
        <v>184</v>
      </c>
      <c r="B261" s="220"/>
      <c r="C261" s="285">
        <f t="shared" si="194"/>
        <v>0</v>
      </c>
      <c r="D261" s="285">
        <f t="shared" si="194"/>
        <v>0</v>
      </c>
      <c r="E261" s="184">
        <f t="shared" si="192"/>
        <v>0</v>
      </c>
      <c r="F261" s="285">
        <f t="shared" si="195"/>
        <v>538.3</v>
      </c>
      <c r="G261" s="184">
        <f t="shared" si="193"/>
        <v>538.3</v>
      </c>
      <c r="H261" s="285">
        <f t="shared" si="196"/>
        <v>0</v>
      </c>
      <c r="I261" s="310">
        <f t="shared" si="197"/>
        <v>18</v>
      </c>
      <c r="J261" s="310">
        <f t="shared" si="198"/>
        <v>18</v>
      </c>
      <c r="K261" s="259"/>
      <c r="L261" s="259"/>
      <c r="M261" s="259"/>
      <c r="N261" s="264"/>
      <c r="O261" s="184">
        <f t="shared" si="199"/>
        <v>538.3</v>
      </c>
      <c r="P261" s="184">
        <f t="shared" si="200"/>
        <v>0</v>
      </c>
      <c r="Q261" s="184">
        <f t="shared" si="201"/>
        <v>0</v>
      </c>
      <c r="R261" s="297"/>
      <c r="S261" s="264"/>
      <c r="T261" s="259"/>
      <c r="U261" s="259"/>
      <c r="V261" s="259"/>
      <c r="W261" s="259"/>
      <c r="X261" s="259"/>
      <c r="Y261" s="259"/>
      <c r="Z261" s="259"/>
      <c r="AA261" s="259"/>
      <c r="AB261" s="259"/>
      <c r="AC261" s="259"/>
      <c r="AD261" s="259"/>
      <c r="AE261" s="259"/>
      <c r="AF261" s="259"/>
      <c r="AG261" s="259"/>
      <c r="AH261" s="259"/>
      <c r="AI261" s="259"/>
      <c r="AJ261" s="259"/>
      <c r="AK261" s="259"/>
      <c r="AL261" s="259"/>
      <c r="AM261" s="259"/>
      <c r="AN261" s="259"/>
      <c r="AO261" s="259"/>
      <c r="AP261" s="259"/>
      <c r="AQ261" s="259"/>
      <c r="AR261" s="259"/>
      <c r="AS261" s="259"/>
      <c r="AT261" s="259"/>
      <c r="AU261" s="259"/>
      <c r="AV261" s="259"/>
      <c r="AW261" s="259"/>
    </row>
    <row r="262" spans="1:49" ht="12">
      <c r="A262" s="284" t="s">
        <v>185</v>
      </c>
      <c r="B262" s="220"/>
      <c r="C262" s="285">
        <f t="shared" si="194"/>
        <v>0</v>
      </c>
      <c r="D262" s="285">
        <f t="shared" si="194"/>
        <v>0</v>
      </c>
      <c r="E262" s="184">
        <f t="shared" si="192"/>
        <v>0</v>
      </c>
      <c r="F262" s="285">
        <f t="shared" si="195"/>
        <v>538.3</v>
      </c>
      <c r="G262" s="184">
        <f t="shared" si="193"/>
        <v>538.3</v>
      </c>
      <c r="H262" s="285">
        <f t="shared" si="196"/>
        <v>0</v>
      </c>
      <c r="I262" s="310">
        <f t="shared" si="197"/>
        <v>18</v>
      </c>
      <c r="J262" s="310">
        <f t="shared" si="198"/>
        <v>18</v>
      </c>
      <c r="K262" s="259"/>
      <c r="L262" s="259"/>
      <c r="M262" s="259"/>
      <c r="N262" s="20"/>
      <c r="O262" s="184">
        <f t="shared" si="199"/>
        <v>538.3</v>
      </c>
      <c r="P262" s="184">
        <f t="shared" si="200"/>
        <v>0</v>
      </c>
      <c r="Q262" s="184">
        <f t="shared" si="201"/>
        <v>0</v>
      </c>
      <c r="R262" s="297"/>
      <c r="S262" s="20"/>
      <c r="T262" s="259"/>
      <c r="U262" s="259"/>
      <c r="V262" s="259"/>
      <c r="W262" s="259"/>
      <c r="X262" s="259"/>
      <c r="Y262" s="259"/>
      <c r="Z262" s="259"/>
      <c r="AA262" s="259"/>
      <c r="AB262" s="259"/>
      <c r="AC262" s="259"/>
      <c r="AD262" s="259"/>
      <c r="AE262" s="259"/>
      <c r="AF262" s="259"/>
      <c r="AG262" s="259"/>
      <c r="AH262" s="259"/>
      <c r="AI262" s="259"/>
      <c r="AJ262" s="259"/>
      <c r="AK262" s="259"/>
      <c r="AL262" s="259"/>
      <c r="AM262" s="259"/>
      <c r="AN262" s="259"/>
      <c r="AO262" s="259"/>
      <c r="AP262" s="259"/>
      <c r="AQ262" s="259"/>
      <c r="AR262" s="259"/>
      <c r="AS262" s="259"/>
      <c r="AT262" s="259"/>
      <c r="AU262" s="259"/>
      <c r="AV262" s="259"/>
      <c r="AW262" s="259"/>
    </row>
    <row r="263" spans="1:49" ht="15">
      <c r="A263" s="284" t="s">
        <v>186</v>
      </c>
      <c r="B263" s="220"/>
      <c r="C263" s="285">
        <f t="shared" si="194"/>
        <v>0</v>
      </c>
      <c r="D263" s="285">
        <f t="shared" si="194"/>
        <v>0</v>
      </c>
      <c r="E263" s="184">
        <f t="shared" si="192"/>
        <v>0</v>
      </c>
      <c r="F263" s="285">
        <f t="shared" si="195"/>
        <v>538.3</v>
      </c>
      <c r="G263" s="184">
        <f t="shared" si="193"/>
        <v>538.3</v>
      </c>
      <c r="H263" s="285">
        <f t="shared" si="196"/>
        <v>0</v>
      </c>
      <c r="I263" s="310">
        <f t="shared" si="197"/>
        <v>18</v>
      </c>
      <c r="J263" s="310">
        <f t="shared" si="198"/>
        <v>18</v>
      </c>
      <c r="K263" s="259"/>
      <c r="L263" s="259"/>
      <c r="M263" s="259"/>
      <c r="N263" s="264"/>
      <c r="O263" s="184">
        <f t="shared" si="199"/>
        <v>538.3</v>
      </c>
      <c r="P263" s="184">
        <f t="shared" si="200"/>
        <v>0</v>
      </c>
      <c r="Q263" s="184">
        <f t="shared" si="201"/>
        <v>0</v>
      </c>
      <c r="R263" s="297"/>
      <c r="S263" s="264"/>
      <c r="T263" s="259"/>
      <c r="U263" s="259"/>
      <c r="V263" s="259"/>
      <c r="W263" s="259"/>
      <c r="X263" s="259"/>
      <c r="Y263" s="259"/>
      <c r="Z263" s="259"/>
      <c r="AA263" s="259"/>
      <c r="AB263" s="259"/>
      <c r="AC263" s="259"/>
      <c r="AD263" s="259"/>
      <c r="AE263" s="259"/>
      <c r="AF263" s="259"/>
      <c r="AG263" s="259"/>
      <c r="AH263" s="259"/>
      <c r="AI263" s="259"/>
      <c r="AJ263" s="259"/>
      <c r="AK263" s="259"/>
      <c r="AL263" s="259"/>
      <c r="AM263" s="259"/>
      <c r="AN263" s="259"/>
      <c r="AO263" s="259"/>
      <c r="AP263" s="259"/>
      <c r="AQ263" s="259"/>
      <c r="AR263" s="259"/>
      <c r="AS263" s="259"/>
      <c r="AT263" s="259"/>
      <c r="AU263" s="259"/>
      <c r="AV263" s="259"/>
      <c r="AW263" s="259"/>
    </row>
    <row r="264" spans="1:49" ht="12">
      <c r="A264" s="284" t="s">
        <v>187</v>
      </c>
      <c r="B264" s="220"/>
      <c r="C264" s="285">
        <f t="shared" si="194"/>
        <v>0</v>
      </c>
      <c r="D264" s="285">
        <f t="shared" si="194"/>
        <v>0</v>
      </c>
      <c r="E264" s="184">
        <f t="shared" si="192"/>
        <v>0</v>
      </c>
      <c r="F264" s="285">
        <f t="shared" si="195"/>
        <v>538.3</v>
      </c>
      <c r="G264" s="184">
        <f t="shared" si="193"/>
        <v>538.3</v>
      </c>
      <c r="H264" s="285">
        <f t="shared" si="196"/>
        <v>0</v>
      </c>
      <c r="I264" s="310">
        <f t="shared" si="197"/>
        <v>18</v>
      </c>
      <c r="J264" s="310">
        <f t="shared" si="198"/>
        <v>18</v>
      </c>
      <c r="K264" s="259"/>
      <c r="L264" s="259"/>
      <c r="M264" s="259"/>
      <c r="N264" s="20"/>
      <c r="O264" s="184">
        <f t="shared" si="199"/>
        <v>538.3</v>
      </c>
      <c r="P264" s="184">
        <f t="shared" si="200"/>
        <v>0</v>
      </c>
      <c r="Q264" s="184">
        <f t="shared" si="201"/>
        <v>0</v>
      </c>
      <c r="R264" s="297"/>
      <c r="S264" s="20"/>
      <c r="T264" s="259"/>
      <c r="U264" s="259"/>
      <c r="V264" s="259"/>
      <c r="W264" s="259"/>
      <c r="X264" s="259"/>
      <c r="Y264" s="259"/>
      <c r="Z264" s="259"/>
      <c r="AA264" s="259"/>
      <c r="AB264" s="259"/>
      <c r="AC264" s="259"/>
      <c r="AD264" s="259"/>
      <c r="AE264" s="259"/>
      <c r="AF264" s="259"/>
      <c r="AG264" s="259"/>
      <c r="AH264" s="259"/>
      <c r="AI264" s="259"/>
      <c r="AJ264" s="259"/>
      <c r="AK264" s="259"/>
      <c r="AL264" s="259"/>
      <c r="AM264" s="259"/>
      <c r="AN264" s="259"/>
      <c r="AO264" s="259"/>
      <c r="AP264" s="259"/>
      <c r="AQ264" s="259"/>
      <c r="AR264" s="259"/>
      <c r="AS264" s="259"/>
      <c r="AT264" s="259"/>
      <c r="AU264" s="259"/>
      <c r="AV264" s="259"/>
      <c r="AW264" s="259"/>
    </row>
    <row r="265" spans="1:49" ht="15">
      <c r="A265" s="284" t="s">
        <v>188</v>
      </c>
      <c r="B265" s="220"/>
      <c r="C265" s="285">
        <f t="shared" si="194"/>
        <v>0</v>
      </c>
      <c r="D265" s="285">
        <f t="shared" si="194"/>
        <v>0</v>
      </c>
      <c r="E265" s="184">
        <f t="shared" si="192"/>
        <v>0</v>
      </c>
      <c r="F265" s="285">
        <f t="shared" si="195"/>
        <v>538.3</v>
      </c>
      <c r="G265" s="184">
        <f t="shared" si="193"/>
        <v>538.3</v>
      </c>
      <c r="H265" s="285">
        <f t="shared" si="196"/>
        <v>0</v>
      </c>
      <c r="I265" s="310">
        <f t="shared" si="197"/>
        <v>18</v>
      </c>
      <c r="J265" s="310">
        <f t="shared" si="198"/>
        <v>18</v>
      </c>
      <c r="K265" s="259"/>
      <c r="L265" s="259"/>
      <c r="M265" s="259"/>
      <c r="N265" s="264"/>
      <c r="O265" s="184">
        <f t="shared" si="199"/>
        <v>538.3</v>
      </c>
      <c r="P265" s="184">
        <f t="shared" si="200"/>
        <v>0</v>
      </c>
      <c r="Q265" s="184">
        <f t="shared" si="201"/>
        <v>0</v>
      </c>
      <c r="R265" s="297"/>
      <c r="S265" s="264"/>
      <c r="T265" s="259"/>
      <c r="U265" s="259"/>
      <c r="V265" s="259"/>
      <c r="W265" s="259"/>
      <c r="X265" s="259"/>
      <c r="Y265" s="259"/>
      <c r="Z265" s="259"/>
      <c r="AA265" s="259"/>
      <c r="AB265" s="259"/>
      <c r="AC265" s="259"/>
      <c r="AD265" s="259"/>
      <c r="AE265" s="259"/>
      <c r="AF265" s="259"/>
      <c r="AG265" s="259"/>
      <c r="AH265" s="259"/>
      <c r="AI265" s="259"/>
      <c r="AJ265" s="259"/>
      <c r="AK265" s="259"/>
      <c r="AL265" s="259"/>
      <c r="AM265" s="259"/>
      <c r="AN265" s="259"/>
      <c r="AO265" s="259"/>
      <c r="AP265" s="259"/>
      <c r="AQ265" s="259"/>
      <c r="AR265" s="259"/>
      <c r="AS265" s="259"/>
      <c r="AT265" s="259"/>
      <c r="AU265" s="259"/>
      <c r="AV265" s="259"/>
      <c r="AW265" s="259"/>
    </row>
    <row r="266" spans="1:49" ht="12">
      <c r="A266" s="284" t="s">
        <v>189</v>
      </c>
      <c r="B266" s="220"/>
      <c r="C266" s="285">
        <f t="shared" si="194"/>
        <v>0</v>
      </c>
      <c r="D266" s="285">
        <f t="shared" si="194"/>
        <v>0</v>
      </c>
      <c r="E266" s="184">
        <f t="shared" si="192"/>
        <v>0</v>
      </c>
      <c r="F266" s="285">
        <f t="shared" si="195"/>
        <v>538.3</v>
      </c>
      <c r="G266" s="184">
        <f t="shared" si="193"/>
        <v>538.3</v>
      </c>
      <c r="H266" s="285">
        <f t="shared" si="196"/>
        <v>0</v>
      </c>
      <c r="I266" s="310">
        <f t="shared" si="197"/>
        <v>18</v>
      </c>
      <c r="J266" s="310">
        <f t="shared" si="198"/>
        <v>18</v>
      </c>
      <c r="K266" s="259"/>
      <c r="L266" s="259"/>
      <c r="M266" s="259"/>
      <c r="N266" s="20"/>
      <c r="O266" s="184">
        <f t="shared" si="199"/>
        <v>538.3</v>
      </c>
      <c r="P266" s="184">
        <f t="shared" si="200"/>
        <v>0</v>
      </c>
      <c r="Q266" s="184">
        <f t="shared" si="201"/>
        <v>0</v>
      </c>
      <c r="R266" s="297"/>
      <c r="S266" s="20"/>
      <c r="T266" s="259"/>
      <c r="U266" s="259"/>
      <c r="V266" s="259"/>
      <c r="W266" s="259"/>
      <c r="X266" s="259"/>
      <c r="Y266" s="259"/>
      <c r="Z266" s="259"/>
      <c r="AA266" s="259"/>
      <c r="AB266" s="259"/>
      <c r="AC266" s="259"/>
      <c r="AD266" s="259"/>
      <c r="AE266" s="259"/>
      <c r="AF266" s="259"/>
      <c r="AG266" s="259"/>
      <c r="AH266" s="259"/>
      <c r="AI266" s="259"/>
      <c r="AJ266" s="259"/>
      <c r="AK266" s="259"/>
      <c r="AL266" s="259"/>
      <c r="AM266" s="259"/>
      <c r="AN266" s="259"/>
      <c r="AO266" s="259"/>
      <c r="AP266" s="259"/>
      <c r="AQ266" s="259"/>
      <c r="AR266" s="259"/>
      <c r="AS266" s="259"/>
      <c r="AT266" s="259"/>
      <c r="AU266" s="259"/>
      <c r="AV266" s="259"/>
      <c r="AW266" s="259"/>
    </row>
    <row r="267" spans="1:49" ht="15">
      <c r="A267" s="284" t="s">
        <v>190</v>
      </c>
      <c r="B267" s="220"/>
      <c r="C267" s="285">
        <f t="shared" si="194"/>
        <v>0</v>
      </c>
      <c r="D267" s="285">
        <f t="shared" si="194"/>
        <v>0</v>
      </c>
      <c r="E267" s="184">
        <f t="shared" si="192"/>
        <v>0</v>
      </c>
      <c r="F267" s="285">
        <f>F266</f>
        <v>538.3</v>
      </c>
      <c r="G267" s="184">
        <f t="shared" si="193"/>
        <v>538.3</v>
      </c>
      <c r="H267" s="285">
        <f t="shared" si="196"/>
        <v>0</v>
      </c>
      <c r="I267" s="310">
        <f t="shared" si="197"/>
        <v>18</v>
      </c>
      <c r="J267" s="310">
        <f t="shared" si="198"/>
        <v>18</v>
      </c>
      <c r="K267" s="259"/>
      <c r="L267" s="259"/>
      <c r="M267" s="259"/>
      <c r="N267" s="264"/>
      <c r="O267" s="184">
        <f t="shared" si="199"/>
        <v>538.3</v>
      </c>
      <c r="P267" s="184">
        <f t="shared" si="200"/>
        <v>0</v>
      </c>
      <c r="Q267" s="184">
        <f t="shared" si="201"/>
        <v>0</v>
      </c>
      <c r="R267" s="297"/>
      <c r="S267" s="264"/>
      <c r="T267" s="259"/>
      <c r="U267" s="259"/>
      <c r="V267" s="259"/>
      <c r="W267" s="259"/>
      <c r="X267" s="259"/>
      <c r="Y267" s="259"/>
      <c r="Z267" s="259"/>
      <c r="AA267" s="259"/>
      <c r="AB267" s="259"/>
      <c r="AC267" s="259"/>
      <c r="AD267" s="259"/>
      <c r="AE267" s="259"/>
      <c r="AF267" s="259"/>
      <c r="AG267" s="259"/>
      <c r="AH267" s="259"/>
      <c r="AI267" s="259"/>
      <c r="AJ267" s="259"/>
      <c r="AK267" s="259"/>
      <c r="AL267" s="259"/>
      <c r="AM267" s="259"/>
      <c r="AN267" s="259"/>
      <c r="AO267" s="259"/>
      <c r="AP267" s="259"/>
      <c r="AQ267" s="259"/>
      <c r="AR267" s="259"/>
      <c r="AS267" s="259"/>
      <c r="AT267" s="259"/>
      <c r="AU267" s="259"/>
      <c r="AV267" s="259"/>
      <c r="AW267" s="259"/>
    </row>
    <row r="268" spans="1:49" ht="12">
      <c r="A268" s="284" t="s">
        <v>191</v>
      </c>
      <c r="B268" s="220"/>
      <c r="C268" s="285">
        <f t="shared" si="194"/>
        <v>0</v>
      </c>
      <c r="D268" s="285">
        <f t="shared" si="194"/>
        <v>0</v>
      </c>
      <c r="E268" s="184">
        <f t="shared" si="192"/>
        <v>0</v>
      </c>
      <c r="F268" s="285">
        <f>F267</f>
        <v>538.3</v>
      </c>
      <c r="G268" s="184">
        <f t="shared" si="193"/>
        <v>538.3</v>
      </c>
      <c r="H268" s="285">
        <f t="shared" si="196"/>
        <v>0</v>
      </c>
      <c r="I268" s="310">
        <f t="shared" si="197"/>
        <v>18</v>
      </c>
      <c r="J268" s="310">
        <f t="shared" si="198"/>
        <v>18</v>
      </c>
      <c r="K268" s="259"/>
      <c r="L268" s="259"/>
      <c r="M268" s="259"/>
      <c r="N268" s="20"/>
      <c r="O268" s="184">
        <f t="shared" si="199"/>
        <v>538.3</v>
      </c>
      <c r="P268" s="184">
        <f t="shared" si="200"/>
        <v>0</v>
      </c>
      <c r="Q268" s="184">
        <f t="shared" si="201"/>
        <v>0</v>
      </c>
      <c r="R268" s="297"/>
      <c r="S268" s="20"/>
      <c r="T268" s="259"/>
      <c r="U268" s="259"/>
      <c r="V268" s="259"/>
      <c r="W268" s="259"/>
      <c r="X268" s="259"/>
      <c r="Y268" s="259"/>
      <c r="Z268" s="259"/>
      <c r="AA268" s="259"/>
      <c r="AB268" s="259"/>
      <c r="AC268" s="259"/>
      <c r="AD268" s="259"/>
      <c r="AE268" s="259"/>
      <c r="AF268" s="259"/>
      <c r="AG268" s="259"/>
      <c r="AH268" s="259"/>
      <c r="AI268" s="259"/>
      <c r="AJ268" s="259"/>
      <c r="AK268" s="259"/>
      <c r="AL268" s="259"/>
      <c r="AM268" s="259"/>
      <c r="AN268" s="259"/>
      <c r="AO268" s="259"/>
      <c r="AP268" s="259"/>
      <c r="AQ268" s="259"/>
      <c r="AR268" s="259"/>
      <c r="AS268" s="259"/>
      <c r="AT268" s="259"/>
      <c r="AU268" s="259"/>
      <c r="AV268" s="259"/>
      <c r="AW268" s="259"/>
    </row>
    <row r="269" spans="1:49" ht="15">
      <c r="A269" s="284" t="s">
        <v>192</v>
      </c>
      <c r="B269" s="220"/>
      <c r="C269" s="285">
        <f t="shared" si="194"/>
        <v>0</v>
      </c>
      <c r="D269" s="285">
        <f t="shared" si="194"/>
        <v>0</v>
      </c>
      <c r="E269" s="184">
        <f t="shared" si="192"/>
        <v>0</v>
      </c>
      <c r="F269" s="285">
        <f>F268</f>
        <v>538.3</v>
      </c>
      <c r="G269" s="184">
        <f t="shared" si="193"/>
        <v>538.3</v>
      </c>
      <c r="H269" s="285">
        <f t="shared" si="196"/>
        <v>0</v>
      </c>
      <c r="I269" s="310">
        <f t="shared" si="197"/>
        <v>18</v>
      </c>
      <c r="J269" s="310">
        <f t="shared" si="198"/>
        <v>18</v>
      </c>
      <c r="K269" s="259"/>
      <c r="L269" s="259"/>
      <c r="M269" s="259"/>
      <c r="N269" s="264"/>
      <c r="O269" s="184">
        <f t="shared" si="199"/>
        <v>538.3</v>
      </c>
      <c r="P269" s="184">
        <f t="shared" si="200"/>
        <v>0</v>
      </c>
      <c r="Q269" s="184">
        <f t="shared" si="201"/>
        <v>0</v>
      </c>
      <c r="R269" s="297"/>
      <c r="S269" s="264"/>
      <c r="T269" s="259"/>
      <c r="U269" s="259"/>
      <c r="V269" s="259"/>
      <c r="W269" s="259"/>
      <c r="X269" s="259"/>
      <c r="Y269" s="259"/>
      <c r="Z269" s="259"/>
      <c r="AA269" s="259"/>
      <c r="AB269" s="259"/>
      <c r="AC269" s="259"/>
      <c r="AD269" s="259"/>
      <c r="AE269" s="259"/>
      <c r="AF269" s="259"/>
      <c r="AG269" s="259"/>
      <c r="AH269" s="259"/>
      <c r="AI269" s="259"/>
      <c r="AJ269" s="259"/>
      <c r="AK269" s="259"/>
      <c r="AL269" s="259"/>
      <c r="AM269" s="259"/>
      <c r="AN269" s="259"/>
      <c r="AO269" s="259"/>
      <c r="AP269" s="259"/>
      <c r="AQ269" s="259"/>
      <c r="AR269" s="259"/>
      <c r="AS269" s="259"/>
      <c r="AT269" s="259"/>
      <c r="AU269" s="259"/>
      <c r="AV269" s="259"/>
      <c r="AW269" s="259"/>
    </row>
    <row r="270" spans="1:49" ht="12.75">
      <c r="A270" s="282">
        <f>A257+1</f>
        <v>2013</v>
      </c>
      <c r="B270" s="28"/>
      <c r="C270" s="28"/>
      <c r="D270" s="28"/>
      <c r="E270" s="306">
        <f>SUM(E271:E282)</f>
        <v>0</v>
      </c>
      <c r="F270" s="287"/>
      <c r="G270" s="283">
        <f>SUM(G271:G282)</f>
        <v>6459.600000000001</v>
      </c>
      <c r="H270" s="309">
        <f>SUM(H271:H282)</f>
        <v>0</v>
      </c>
      <c r="I270" s="311">
        <f>SUM(I271:I282)</f>
        <v>216</v>
      </c>
      <c r="J270" s="311">
        <f>SUM(J271:J282)</f>
        <v>216</v>
      </c>
      <c r="K270" s="259"/>
      <c r="L270" s="259"/>
      <c r="M270" s="259"/>
      <c r="N270" s="20"/>
      <c r="O270" s="136">
        <f>SUM(O271:O282)</f>
        <v>6459.600000000001</v>
      </c>
      <c r="P270" s="136">
        <f>SUM(P271:P282)</f>
        <v>0</v>
      </c>
      <c r="Q270" s="136">
        <f>SUM(Q271:Q282)</f>
        <v>0</v>
      </c>
      <c r="R270" s="296">
        <f>IF($A$1=A270,(J270/I270)/12*8,J270/I270)</f>
        <v>1</v>
      </c>
      <c r="S270" s="20"/>
      <c r="T270" s="259"/>
      <c r="U270" s="259"/>
      <c r="V270" s="259"/>
      <c r="W270" s="259"/>
      <c r="X270" s="259"/>
      <c r="Y270" s="259"/>
      <c r="Z270" s="259"/>
      <c r="AA270" s="259"/>
      <c r="AB270" s="259"/>
      <c r="AC270" s="259"/>
      <c r="AD270" s="259"/>
      <c r="AE270" s="259"/>
      <c r="AF270" s="259"/>
      <c r="AG270" s="259"/>
      <c r="AH270" s="259"/>
      <c r="AI270" s="259"/>
      <c r="AJ270" s="259"/>
      <c r="AK270" s="259"/>
      <c r="AL270" s="259"/>
      <c r="AM270" s="259"/>
      <c r="AN270" s="259"/>
      <c r="AO270" s="259"/>
      <c r="AP270" s="259"/>
      <c r="AQ270" s="259"/>
      <c r="AR270" s="259"/>
      <c r="AS270" s="259"/>
      <c r="AT270" s="259"/>
      <c r="AU270" s="259"/>
      <c r="AV270" s="259"/>
      <c r="AW270" s="259"/>
    </row>
    <row r="271" spans="1:49" ht="15">
      <c r="A271" s="284" t="s">
        <v>181</v>
      </c>
      <c r="B271" s="220"/>
      <c r="C271" s="285">
        <f>C269</f>
        <v>0</v>
      </c>
      <c r="D271" s="285">
        <f>D269</f>
        <v>0</v>
      </c>
      <c r="E271" s="184">
        <f aca="true" t="shared" si="202" ref="E271:E282">C271+D271</f>
        <v>0</v>
      </c>
      <c r="F271" s="285">
        <f>F269</f>
        <v>538.3</v>
      </c>
      <c r="G271" s="184">
        <f aca="true" t="shared" si="203" ref="G271:G282">SUM(E271:F271)</f>
        <v>538.3</v>
      </c>
      <c r="H271" s="285">
        <f>H269</f>
        <v>0</v>
      </c>
      <c r="I271" s="310">
        <f>I269</f>
        <v>18</v>
      </c>
      <c r="J271" s="310">
        <f>J269</f>
        <v>18</v>
      </c>
      <c r="K271" s="259"/>
      <c r="L271" s="259"/>
      <c r="M271" s="259"/>
      <c r="N271" s="264"/>
      <c r="O271" s="184">
        <f>G271/I271*J271</f>
        <v>538.3</v>
      </c>
      <c r="P271" s="184">
        <f>E271*0.18/I271*J271</f>
        <v>0</v>
      </c>
      <c r="Q271" s="184">
        <f>H271/I271*J271</f>
        <v>0</v>
      </c>
      <c r="R271" s="297"/>
      <c r="S271" s="264"/>
      <c r="T271" s="259"/>
      <c r="U271" s="259"/>
      <c r="V271" s="259"/>
      <c r="W271" s="259"/>
      <c r="X271" s="259"/>
      <c r="Y271" s="259"/>
      <c r="Z271" s="259"/>
      <c r="AA271" s="259"/>
      <c r="AB271" s="259"/>
      <c r="AC271" s="259"/>
      <c r="AD271" s="259"/>
      <c r="AE271" s="259"/>
      <c r="AF271" s="259"/>
      <c r="AG271" s="259"/>
      <c r="AH271" s="259"/>
      <c r="AI271" s="259"/>
      <c r="AJ271" s="259"/>
      <c r="AK271" s="259"/>
      <c r="AL271" s="259"/>
      <c r="AM271" s="259"/>
      <c r="AN271" s="259"/>
      <c r="AO271" s="259"/>
      <c r="AP271" s="259"/>
      <c r="AQ271" s="259"/>
      <c r="AR271" s="259"/>
      <c r="AS271" s="259"/>
      <c r="AT271" s="259"/>
      <c r="AU271" s="259"/>
      <c r="AV271" s="259"/>
      <c r="AW271" s="259"/>
    </row>
    <row r="272" spans="1:49" ht="12">
      <c r="A272" s="284" t="s">
        <v>182</v>
      </c>
      <c r="B272" s="220"/>
      <c r="C272" s="285">
        <f aca="true" t="shared" si="204" ref="C272:D282">C271</f>
        <v>0</v>
      </c>
      <c r="D272" s="285">
        <f t="shared" si="204"/>
        <v>0</v>
      </c>
      <c r="E272" s="184">
        <f t="shared" si="202"/>
        <v>0</v>
      </c>
      <c r="F272" s="285">
        <f aca="true" t="shared" si="205" ref="F272:F279">F271</f>
        <v>538.3</v>
      </c>
      <c r="G272" s="184">
        <f t="shared" si="203"/>
        <v>538.3</v>
      </c>
      <c r="H272" s="285">
        <f aca="true" t="shared" si="206" ref="H272:H282">H271</f>
        <v>0</v>
      </c>
      <c r="I272" s="310">
        <f aca="true" t="shared" si="207" ref="I272:I282">I271</f>
        <v>18</v>
      </c>
      <c r="J272" s="310">
        <f aca="true" t="shared" si="208" ref="J272:J282">J271</f>
        <v>18</v>
      </c>
      <c r="K272" s="259"/>
      <c r="L272" s="259"/>
      <c r="M272" s="259"/>
      <c r="N272" s="20"/>
      <c r="O272" s="184">
        <f aca="true" t="shared" si="209" ref="O272:O282">G272/I272*J272</f>
        <v>538.3</v>
      </c>
      <c r="P272" s="184">
        <f aca="true" t="shared" si="210" ref="P272:P282">E272*0.18/I272*J272</f>
        <v>0</v>
      </c>
      <c r="Q272" s="184">
        <f aca="true" t="shared" si="211" ref="Q272:Q282">H272/I272*J272</f>
        <v>0</v>
      </c>
      <c r="R272" s="297"/>
      <c r="S272" s="20"/>
      <c r="T272" s="259"/>
      <c r="U272" s="259"/>
      <c r="V272" s="259"/>
      <c r="W272" s="259"/>
      <c r="X272" s="259"/>
      <c r="Y272" s="259"/>
      <c r="Z272" s="259"/>
      <c r="AA272" s="259"/>
      <c r="AB272" s="259"/>
      <c r="AC272" s="259"/>
      <c r="AD272" s="259"/>
      <c r="AE272" s="259"/>
      <c r="AF272" s="259"/>
      <c r="AG272" s="259"/>
      <c r="AH272" s="259"/>
      <c r="AI272" s="259"/>
      <c r="AJ272" s="259"/>
      <c r="AK272" s="259"/>
      <c r="AL272" s="259"/>
      <c r="AM272" s="259"/>
      <c r="AN272" s="259"/>
      <c r="AO272" s="259"/>
      <c r="AP272" s="259"/>
      <c r="AQ272" s="259"/>
      <c r="AR272" s="259"/>
      <c r="AS272" s="259"/>
      <c r="AT272" s="259"/>
      <c r="AU272" s="259"/>
      <c r="AV272" s="259"/>
      <c r="AW272" s="259"/>
    </row>
    <row r="273" spans="1:49" ht="15">
      <c r="A273" s="284" t="s">
        <v>183</v>
      </c>
      <c r="B273" s="220"/>
      <c r="C273" s="285">
        <f t="shared" si="204"/>
        <v>0</v>
      </c>
      <c r="D273" s="285">
        <f t="shared" si="204"/>
        <v>0</v>
      </c>
      <c r="E273" s="184">
        <f t="shared" si="202"/>
        <v>0</v>
      </c>
      <c r="F273" s="285">
        <f t="shared" si="205"/>
        <v>538.3</v>
      </c>
      <c r="G273" s="184">
        <f t="shared" si="203"/>
        <v>538.3</v>
      </c>
      <c r="H273" s="285">
        <f t="shared" si="206"/>
        <v>0</v>
      </c>
      <c r="I273" s="310">
        <f t="shared" si="207"/>
        <v>18</v>
      </c>
      <c r="J273" s="310">
        <f t="shared" si="208"/>
        <v>18</v>
      </c>
      <c r="K273" s="259"/>
      <c r="L273" s="259"/>
      <c r="M273" s="259"/>
      <c r="N273" s="264"/>
      <c r="O273" s="184">
        <f t="shared" si="209"/>
        <v>538.3</v>
      </c>
      <c r="P273" s="184">
        <f t="shared" si="210"/>
        <v>0</v>
      </c>
      <c r="Q273" s="184">
        <f t="shared" si="211"/>
        <v>0</v>
      </c>
      <c r="R273" s="297"/>
      <c r="S273" s="264"/>
      <c r="T273" s="259"/>
      <c r="U273" s="259"/>
      <c r="V273" s="259"/>
      <c r="W273" s="259"/>
      <c r="X273" s="259"/>
      <c r="Y273" s="259"/>
      <c r="Z273" s="259"/>
      <c r="AA273" s="259"/>
      <c r="AB273" s="259"/>
      <c r="AC273" s="259"/>
      <c r="AD273" s="259"/>
      <c r="AE273" s="259"/>
      <c r="AF273" s="259"/>
      <c r="AG273" s="259"/>
      <c r="AH273" s="259"/>
      <c r="AI273" s="259"/>
      <c r="AJ273" s="259"/>
      <c r="AK273" s="259"/>
      <c r="AL273" s="259"/>
      <c r="AM273" s="259"/>
      <c r="AN273" s="259"/>
      <c r="AO273" s="259"/>
      <c r="AP273" s="259"/>
      <c r="AQ273" s="259"/>
      <c r="AR273" s="259"/>
      <c r="AS273" s="259"/>
      <c r="AT273" s="259"/>
      <c r="AU273" s="259"/>
      <c r="AV273" s="259"/>
      <c r="AW273" s="259"/>
    </row>
    <row r="274" spans="1:49" ht="12">
      <c r="A274" s="284" t="s">
        <v>184</v>
      </c>
      <c r="B274" s="220"/>
      <c r="C274" s="285">
        <f t="shared" si="204"/>
        <v>0</v>
      </c>
      <c r="D274" s="285">
        <f t="shared" si="204"/>
        <v>0</v>
      </c>
      <c r="E274" s="184">
        <f t="shared" si="202"/>
        <v>0</v>
      </c>
      <c r="F274" s="285">
        <f t="shared" si="205"/>
        <v>538.3</v>
      </c>
      <c r="G274" s="184">
        <f t="shared" si="203"/>
        <v>538.3</v>
      </c>
      <c r="H274" s="285">
        <f t="shared" si="206"/>
        <v>0</v>
      </c>
      <c r="I274" s="310">
        <f t="shared" si="207"/>
        <v>18</v>
      </c>
      <c r="J274" s="310">
        <f t="shared" si="208"/>
        <v>18</v>
      </c>
      <c r="K274" s="259"/>
      <c r="L274" s="259"/>
      <c r="M274" s="259"/>
      <c r="N274" s="20"/>
      <c r="O274" s="184">
        <f t="shared" si="209"/>
        <v>538.3</v>
      </c>
      <c r="P274" s="184">
        <f t="shared" si="210"/>
        <v>0</v>
      </c>
      <c r="Q274" s="184">
        <f t="shared" si="211"/>
        <v>0</v>
      </c>
      <c r="R274" s="297"/>
      <c r="S274" s="20"/>
      <c r="T274" s="259"/>
      <c r="U274" s="259"/>
      <c r="V274" s="259"/>
      <c r="W274" s="259"/>
      <c r="X274" s="259"/>
      <c r="Y274" s="259"/>
      <c r="Z274" s="259"/>
      <c r="AA274" s="259"/>
      <c r="AB274" s="259"/>
      <c r="AC274" s="259"/>
      <c r="AD274" s="259"/>
      <c r="AE274" s="259"/>
      <c r="AF274" s="259"/>
      <c r="AG274" s="259"/>
      <c r="AH274" s="259"/>
      <c r="AI274" s="259"/>
      <c r="AJ274" s="259"/>
      <c r="AK274" s="259"/>
      <c r="AL274" s="259"/>
      <c r="AM274" s="259"/>
      <c r="AN274" s="259"/>
      <c r="AO274" s="259"/>
      <c r="AP274" s="259"/>
      <c r="AQ274" s="259"/>
      <c r="AR274" s="259"/>
      <c r="AS274" s="259"/>
      <c r="AT274" s="259"/>
      <c r="AU274" s="259"/>
      <c r="AV274" s="259"/>
      <c r="AW274" s="259"/>
    </row>
    <row r="275" spans="1:49" ht="15">
      <c r="A275" s="284" t="s">
        <v>185</v>
      </c>
      <c r="B275" s="220"/>
      <c r="C275" s="285">
        <f t="shared" si="204"/>
        <v>0</v>
      </c>
      <c r="D275" s="285">
        <f t="shared" si="204"/>
        <v>0</v>
      </c>
      <c r="E275" s="184">
        <f t="shared" si="202"/>
        <v>0</v>
      </c>
      <c r="F275" s="285">
        <f t="shared" si="205"/>
        <v>538.3</v>
      </c>
      <c r="G275" s="184">
        <f t="shared" si="203"/>
        <v>538.3</v>
      </c>
      <c r="H275" s="285">
        <f t="shared" si="206"/>
        <v>0</v>
      </c>
      <c r="I275" s="310">
        <f t="shared" si="207"/>
        <v>18</v>
      </c>
      <c r="J275" s="310">
        <f t="shared" si="208"/>
        <v>18</v>
      </c>
      <c r="K275" s="259"/>
      <c r="L275" s="259"/>
      <c r="M275" s="259"/>
      <c r="N275" s="264"/>
      <c r="O275" s="184">
        <f t="shared" si="209"/>
        <v>538.3</v>
      </c>
      <c r="P275" s="184">
        <f t="shared" si="210"/>
        <v>0</v>
      </c>
      <c r="Q275" s="184">
        <f t="shared" si="211"/>
        <v>0</v>
      </c>
      <c r="R275" s="297"/>
      <c r="S275" s="264"/>
      <c r="T275" s="259"/>
      <c r="U275" s="259"/>
      <c r="V275" s="259"/>
      <c r="W275" s="259"/>
      <c r="X275" s="259"/>
      <c r="Y275" s="259"/>
      <c r="Z275" s="259"/>
      <c r="AA275" s="259"/>
      <c r="AB275" s="259"/>
      <c r="AC275" s="259"/>
      <c r="AD275" s="259"/>
      <c r="AE275" s="259"/>
      <c r="AF275" s="259"/>
      <c r="AG275" s="259"/>
      <c r="AH275" s="259"/>
      <c r="AI275" s="259"/>
      <c r="AJ275" s="259"/>
      <c r="AK275" s="259"/>
      <c r="AL275" s="259"/>
      <c r="AM275" s="259"/>
      <c r="AN275" s="259"/>
      <c r="AO275" s="259"/>
      <c r="AP275" s="259"/>
      <c r="AQ275" s="259"/>
      <c r="AR275" s="259"/>
      <c r="AS275" s="259"/>
      <c r="AT275" s="259"/>
      <c r="AU275" s="259"/>
      <c r="AV275" s="259"/>
      <c r="AW275" s="259"/>
    </row>
    <row r="276" spans="1:49" ht="12">
      <c r="A276" s="284" t="s">
        <v>186</v>
      </c>
      <c r="B276" s="220"/>
      <c r="C276" s="285">
        <f t="shared" si="204"/>
        <v>0</v>
      </c>
      <c r="D276" s="285">
        <f t="shared" si="204"/>
        <v>0</v>
      </c>
      <c r="E276" s="184">
        <f t="shared" si="202"/>
        <v>0</v>
      </c>
      <c r="F276" s="285">
        <f t="shared" si="205"/>
        <v>538.3</v>
      </c>
      <c r="G276" s="184">
        <f t="shared" si="203"/>
        <v>538.3</v>
      </c>
      <c r="H276" s="285">
        <f t="shared" si="206"/>
        <v>0</v>
      </c>
      <c r="I276" s="310">
        <f t="shared" si="207"/>
        <v>18</v>
      </c>
      <c r="J276" s="310">
        <f t="shared" si="208"/>
        <v>18</v>
      </c>
      <c r="K276" s="259"/>
      <c r="L276" s="259"/>
      <c r="M276" s="259"/>
      <c r="N276" s="20"/>
      <c r="O276" s="184">
        <f t="shared" si="209"/>
        <v>538.3</v>
      </c>
      <c r="P276" s="184">
        <f t="shared" si="210"/>
        <v>0</v>
      </c>
      <c r="Q276" s="184">
        <f t="shared" si="211"/>
        <v>0</v>
      </c>
      <c r="R276" s="297"/>
      <c r="S276" s="20"/>
      <c r="T276" s="259"/>
      <c r="U276" s="259"/>
      <c r="V276" s="259"/>
      <c r="W276" s="259"/>
      <c r="X276" s="259"/>
      <c r="Y276" s="259"/>
      <c r="Z276" s="259"/>
      <c r="AA276" s="259"/>
      <c r="AB276" s="259"/>
      <c r="AC276" s="259"/>
      <c r="AD276" s="259"/>
      <c r="AE276" s="259"/>
      <c r="AF276" s="259"/>
      <c r="AG276" s="259"/>
      <c r="AH276" s="259"/>
      <c r="AI276" s="259"/>
      <c r="AJ276" s="259"/>
      <c r="AK276" s="259"/>
      <c r="AL276" s="259"/>
      <c r="AM276" s="259"/>
      <c r="AN276" s="259"/>
      <c r="AO276" s="259"/>
      <c r="AP276" s="259"/>
      <c r="AQ276" s="259"/>
      <c r="AR276" s="259"/>
      <c r="AS276" s="259"/>
      <c r="AT276" s="259"/>
      <c r="AU276" s="259"/>
      <c r="AV276" s="259"/>
      <c r="AW276" s="259"/>
    </row>
    <row r="277" spans="1:49" ht="15">
      <c r="A277" s="284" t="s">
        <v>187</v>
      </c>
      <c r="B277" s="220"/>
      <c r="C277" s="285">
        <f t="shared" si="204"/>
        <v>0</v>
      </c>
      <c r="D277" s="285">
        <f t="shared" si="204"/>
        <v>0</v>
      </c>
      <c r="E277" s="184">
        <f t="shared" si="202"/>
        <v>0</v>
      </c>
      <c r="F277" s="285">
        <f t="shared" si="205"/>
        <v>538.3</v>
      </c>
      <c r="G277" s="184">
        <f t="shared" si="203"/>
        <v>538.3</v>
      </c>
      <c r="H277" s="285">
        <f t="shared" si="206"/>
        <v>0</v>
      </c>
      <c r="I277" s="310">
        <f t="shared" si="207"/>
        <v>18</v>
      </c>
      <c r="J277" s="310">
        <f t="shared" si="208"/>
        <v>18</v>
      </c>
      <c r="K277" s="259"/>
      <c r="L277" s="259"/>
      <c r="M277" s="259"/>
      <c r="N277" s="264"/>
      <c r="O277" s="184">
        <f t="shared" si="209"/>
        <v>538.3</v>
      </c>
      <c r="P277" s="184">
        <f t="shared" si="210"/>
        <v>0</v>
      </c>
      <c r="Q277" s="184">
        <f t="shared" si="211"/>
        <v>0</v>
      </c>
      <c r="R277" s="297"/>
      <c r="S277" s="264"/>
      <c r="T277" s="259"/>
      <c r="U277" s="259"/>
      <c r="V277" s="259"/>
      <c r="W277" s="259"/>
      <c r="X277" s="259"/>
      <c r="Y277" s="259"/>
      <c r="Z277" s="259"/>
      <c r="AA277" s="259"/>
      <c r="AB277" s="259"/>
      <c r="AC277" s="259"/>
      <c r="AD277" s="259"/>
      <c r="AE277" s="259"/>
      <c r="AF277" s="259"/>
      <c r="AG277" s="259"/>
      <c r="AH277" s="259"/>
      <c r="AI277" s="259"/>
      <c r="AJ277" s="259"/>
      <c r="AK277" s="259"/>
      <c r="AL277" s="259"/>
      <c r="AM277" s="259"/>
      <c r="AN277" s="259"/>
      <c r="AO277" s="259"/>
      <c r="AP277" s="259"/>
      <c r="AQ277" s="259"/>
      <c r="AR277" s="259"/>
      <c r="AS277" s="259"/>
      <c r="AT277" s="259"/>
      <c r="AU277" s="259"/>
      <c r="AV277" s="259"/>
      <c r="AW277" s="259"/>
    </row>
    <row r="278" spans="1:49" ht="12">
      <c r="A278" s="284" t="s">
        <v>188</v>
      </c>
      <c r="B278" s="220"/>
      <c r="C278" s="285">
        <f t="shared" si="204"/>
        <v>0</v>
      </c>
      <c r="D278" s="285">
        <f t="shared" si="204"/>
        <v>0</v>
      </c>
      <c r="E278" s="184">
        <f t="shared" si="202"/>
        <v>0</v>
      </c>
      <c r="F278" s="285">
        <f t="shared" si="205"/>
        <v>538.3</v>
      </c>
      <c r="G278" s="184">
        <f t="shared" si="203"/>
        <v>538.3</v>
      </c>
      <c r="H278" s="285">
        <f t="shared" si="206"/>
        <v>0</v>
      </c>
      <c r="I278" s="310">
        <f t="shared" si="207"/>
        <v>18</v>
      </c>
      <c r="J278" s="310">
        <f t="shared" si="208"/>
        <v>18</v>
      </c>
      <c r="K278" s="259"/>
      <c r="L278" s="259"/>
      <c r="M278" s="259"/>
      <c r="N278" s="20"/>
      <c r="O278" s="184">
        <f t="shared" si="209"/>
        <v>538.3</v>
      </c>
      <c r="P278" s="184">
        <f t="shared" si="210"/>
        <v>0</v>
      </c>
      <c r="Q278" s="184">
        <f t="shared" si="211"/>
        <v>0</v>
      </c>
      <c r="R278" s="297"/>
      <c r="S278" s="20"/>
      <c r="T278" s="259"/>
      <c r="U278" s="259"/>
      <c r="V278" s="259"/>
      <c r="W278" s="259"/>
      <c r="X278" s="259"/>
      <c r="Y278" s="259"/>
      <c r="Z278" s="259"/>
      <c r="AA278" s="259"/>
      <c r="AB278" s="259"/>
      <c r="AC278" s="259"/>
      <c r="AD278" s="259"/>
      <c r="AE278" s="259"/>
      <c r="AF278" s="259"/>
      <c r="AG278" s="259"/>
      <c r="AH278" s="259"/>
      <c r="AI278" s="259"/>
      <c r="AJ278" s="259"/>
      <c r="AK278" s="259"/>
      <c r="AL278" s="259"/>
      <c r="AM278" s="259"/>
      <c r="AN278" s="259"/>
      <c r="AO278" s="259"/>
      <c r="AP278" s="259"/>
      <c r="AQ278" s="259"/>
      <c r="AR278" s="259"/>
      <c r="AS278" s="259"/>
      <c r="AT278" s="259"/>
      <c r="AU278" s="259"/>
      <c r="AV278" s="259"/>
      <c r="AW278" s="259"/>
    </row>
    <row r="279" spans="1:49" ht="15">
      <c r="A279" s="284" t="s">
        <v>189</v>
      </c>
      <c r="B279" s="220"/>
      <c r="C279" s="285">
        <f t="shared" si="204"/>
        <v>0</v>
      </c>
      <c r="D279" s="285">
        <f t="shared" si="204"/>
        <v>0</v>
      </c>
      <c r="E279" s="184">
        <f t="shared" si="202"/>
        <v>0</v>
      </c>
      <c r="F279" s="285">
        <f t="shared" si="205"/>
        <v>538.3</v>
      </c>
      <c r="G279" s="184">
        <f t="shared" si="203"/>
        <v>538.3</v>
      </c>
      <c r="H279" s="285">
        <f t="shared" si="206"/>
        <v>0</v>
      </c>
      <c r="I279" s="310">
        <f t="shared" si="207"/>
        <v>18</v>
      </c>
      <c r="J279" s="310">
        <f t="shared" si="208"/>
        <v>18</v>
      </c>
      <c r="K279" s="259"/>
      <c r="L279" s="259"/>
      <c r="M279" s="259"/>
      <c r="N279" s="264"/>
      <c r="O279" s="184">
        <f t="shared" si="209"/>
        <v>538.3</v>
      </c>
      <c r="P279" s="184">
        <f t="shared" si="210"/>
        <v>0</v>
      </c>
      <c r="Q279" s="184">
        <f t="shared" si="211"/>
        <v>0</v>
      </c>
      <c r="R279" s="297"/>
      <c r="S279" s="264"/>
      <c r="T279" s="259"/>
      <c r="U279" s="259"/>
      <c r="V279" s="259"/>
      <c r="W279" s="259"/>
      <c r="X279" s="259"/>
      <c r="Y279" s="259"/>
      <c r="Z279" s="259"/>
      <c r="AA279" s="259"/>
      <c r="AB279" s="259"/>
      <c r="AC279" s="259"/>
      <c r="AD279" s="259"/>
      <c r="AE279" s="259"/>
      <c r="AF279" s="259"/>
      <c r="AG279" s="259"/>
      <c r="AH279" s="259"/>
      <c r="AI279" s="259"/>
      <c r="AJ279" s="259"/>
      <c r="AK279" s="259"/>
      <c r="AL279" s="259"/>
      <c r="AM279" s="259"/>
      <c r="AN279" s="259"/>
      <c r="AO279" s="259"/>
      <c r="AP279" s="259"/>
      <c r="AQ279" s="259"/>
      <c r="AR279" s="259"/>
      <c r="AS279" s="259"/>
      <c r="AT279" s="259"/>
      <c r="AU279" s="259"/>
      <c r="AV279" s="259"/>
      <c r="AW279" s="259"/>
    </row>
    <row r="280" spans="1:49" ht="12">
      <c r="A280" s="284" t="s">
        <v>190</v>
      </c>
      <c r="B280" s="220"/>
      <c r="C280" s="285">
        <f t="shared" si="204"/>
        <v>0</v>
      </c>
      <c r="D280" s="285">
        <f t="shared" si="204"/>
        <v>0</v>
      </c>
      <c r="E280" s="184">
        <f t="shared" si="202"/>
        <v>0</v>
      </c>
      <c r="F280" s="285">
        <f>F279</f>
        <v>538.3</v>
      </c>
      <c r="G280" s="184">
        <f t="shared" si="203"/>
        <v>538.3</v>
      </c>
      <c r="H280" s="285">
        <f t="shared" si="206"/>
        <v>0</v>
      </c>
      <c r="I280" s="310">
        <f t="shared" si="207"/>
        <v>18</v>
      </c>
      <c r="J280" s="310">
        <f t="shared" si="208"/>
        <v>18</v>
      </c>
      <c r="K280" s="259"/>
      <c r="L280" s="259"/>
      <c r="M280" s="259"/>
      <c r="N280" s="20"/>
      <c r="O280" s="184">
        <f t="shared" si="209"/>
        <v>538.3</v>
      </c>
      <c r="P280" s="184">
        <f t="shared" si="210"/>
        <v>0</v>
      </c>
      <c r="Q280" s="184">
        <f t="shared" si="211"/>
        <v>0</v>
      </c>
      <c r="R280" s="297"/>
      <c r="S280" s="20"/>
      <c r="T280" s="259"/>
      <c r="U280" s="259"/>
      <c r="V280" s="259"/>
      <c r="W280" s="259"/>
      <c r="X280" s="259"/>
      <c r="Y280" s="259"/>
      <c r="Z280" s="259"/>
      <c r="AA280" s="259"/>
      <c r="AB280" s="259"/>
      <c r="AC280" s="259"/>
      <c r="AD280" s="259"/>
      <c r="AE280" s="259"/>
      <c r="AF280" s="259"/>
      <c r="AG280" s="259"/>
      <c r="AH280" s="259"/>
      <c r="AI280" s="259"/>
      <c r="AJ280" s="259"/>
      <c r="AK280" s="259"/>
      <c r="AL280" s="259"/>
      <c r="AM280" s="259"/>
      <c r="AN280" s="259"/>
      <c r="AO280" s="259"/>
      <c r="AP280" s="259"/>
      <c r="AQ280" s="259"/>
      <c r="AR280" s="259"/>
      <c r="AS280" s="259"/>
      <c r="AT280" s="259"/>
      <c r="AU280" s="259"/>
      <c r="AV280" s="259"/>
      <c r="AW280" s="259"/>
    </row>
    <row r="281" spans="1:49" ht="15">
      <c r="A281" s="284" t="s">
        <v>191</v>
      </c>
      <c r="B281" s="220"/>
      <c r="C281" s="285">
        <f t="shared" si="204"/>
        <v>0</v>
      </c>
      <c r="D281" s="285">
        <f t="shared" si="204"/>
        <v>0</v>
      </c>
      <c r="E281" s="184">
        <f t="shared" si="202"/>
        <v>0</v>
      </c>
      <c r="F281" s="285">
        <f>F280</f>
        <v>538.3</v>
      </c>
      <c r="G281" s="184">
        <f t="shared" si="203"/>
        <v>538.3</v>
      </c>
      <c r="H281" s="285">
        <f t="shared" si="206"/>
        <v>0</v>
      </c>
      <c r="I281" s="310">
        <f t="shared" si="207"/>
        <v>18</v>
      </c>
      <c r="J281" s="310">
        <f t="shared" si="208"/>
        <v>18</v>
      </c>
      <c r="K281" s="259"/>
      <c r="L281" s="259"/>
      <c r="M281" s="259"/>
      <c r="N281" s="264"/>
      <c r="O281" s="184">
        <f t="shared" si="209"/>
        <v>538.3</v>
      </c>
      <c r="P281" s="184">
        <f t="shared" si="210"/>
        <v>0</v>
      </c>
      <c r="Q281" s="184">
        <f t="shared" si="211"/>
        <v>0</v>
      </c>
      <c r="R281" s="297"/>
      <c r="S281" s="264"/>
      <c r="T281" s="259"/>
      <c r="U281" s="259"/>
      <c r="V281" s="259"/>
      <c r="W281" s="259"/>
      <c r="X281" s="259"/>
      <c r="Y281" s="259"/>
      <c r="Z281" s="259"/>
      <c r="AA281" s="259"/>
      <c r="AB281" s="259"/>
      <c r="AC281" s="259"/>
      <c r="AD281" s="259"/>
      <c r="AE281" s="259"/>
      <c r="AF281" s="259"/>
      <c r="AG281" s="259"/>
      <c r="AH281" s="259"/>
      <c r="AI281" s="259"/>
      <c r="AJ281" s="259"/>
      <c r="AK281" s="259"/>
      <c r="AL281" s="259"/>
      <c r="AM281" s="259"/>
      <c r="AN281" s="259"/>
      <c r="AO281" s="259"/>
      <c r="AP281" s="259"/>
      <c r="AQ281" s="259"/>
      <c r="AR281" s="259"/>
      <c r="AS281" s="259"/>
      <c r="AT281" s="259"/>
      <c r="AU281" s="259"/>
      <c r="AV281" s="259"/>
      <c r="AW281" s="259"/>
    </row>
    <row r="282" spans="1:49" ht="12">
      <c r="A282" s="284" t="s">
        <v>192</v>
      </c>
      <c r="B282" s="220"/>
      <c r="C282" s="285">
        <f t="shared" si="204"/>
        <v>0</v>
      </c>
      <c r="D282" s="285">
        <f t="shared" si="204"/>
        <v>0</v>
      </c>
      <c r="E282" s="184">
        <f t="shared" si="202"/>
        <v>0</v>
      </c>
      <c r="F282" s="285">
        <f>F281</f>
        <v>538.3</v>
      </c>
      <c r="G282" s="184">
        <f t="shared" si="203"/>
        <v>538.3</v>
      </c>
      <c r="H282" s="285">
        <f t="shared" si="206"/>
        <v>0</v>
      </c>
      <c r="I282" s="310">
        <f t="shared" si="207"/>
        <v>18</v>
      </c>
      <c r="J282" s="310">
        <f t="shared" si="208"/>
        <v>18</v>
      </c>
      <c r="K282" s="259"/>
      <c r="L282" s="259"/>
      <c r="M282" s="259"/>
      <c r="N282" s="20"/>
      <c r="O282" s="184">
        <f t="shared" si="209"/>
        <v>538.3</v>
      </c>
      <c r="P282" s="184">
        <f t="shared" si="210"/>
        <v>0</v>
      </c>
      <c r="Q282" s="184">
        <f t="shared" si="211"/>
        <v>0</v>
      </c>
      <c r="R282" s="297"/>
      <c r="S282" s="20"/>
      <c r="T282" s="259"/>
      <c r="U282" s="259"/>
      <c r="V282" s="259"/>
      <c r="W282" s="259"/>
      <c r="X282" s="259"/>
      <c r="Y282" s="259"/>
      <c r="Z282" s="259"/>
      <c r="AA282" s="259"/>
      <c r="AB282" s="259"/>
      <c r="AC282" s="259"/>
      <c r="AD282" s="259"/>
      <c r="AE282" s="259"/>
      <c r="AF282" s="259"/>
      <c r="AG282" s="259"/>
      <c r="AH282" s="259"/>
      <c r="AI282" s="259"/>
      <c r="AJ282" s="259"/>
      <c r="AK282" s="259"/>
      <c r="AL282" s="259"/>
      <c r="AM282" s="259"/>
      <c r="AN282" s="259"/>
      <c r="AO282" s="259"/>
      <c r="AP282" s="259"/>
      <c r="AQ282" s="259"/>
      <c r="AR282" s="259"/>
      <c r="AS282" s="259"/>
      <c r="AT282" s="259"/>
      <c r="AU282" s="259"/>
      <c r="AV282" s="259"/>
      <c r="AW282" s="259"/>
    </row>
    <row r="283" spans="1:49" ht="15">
      <c r="A283" s="282">
        <f>A270+1</f>
        <v>2014</v>
      </c>
      <c r="B283" s="28"/>
      <c r="C283" s="28"/>
      <c r="D283" s="28"/>
      <c r="E283" s="306">
        <f>SUM(E284:E295)</f>
        <v>0</v>
      </c>
      <c r="F283" s="287"/>
      <c r="G283" s="283">
        <f>SUM(G284:G295)</f>
        <v>6459.600000000001</v>
      </c>
      <c r="H283" s="309">
        <f>SUM(H284:H295)</f>
        <v>0</v>
      </c>
      <c r="I283" s="311">
        <f>SUM(I284:I295)</f>
        <v>216</v>
      </c>
      <c r="J283" s="311">
        <f>SUM(J284:J295)</f>
        <v>216</v>
      </c>
      <c r="K283" s="259"/>
      <c r="L283" s="259"/>
      <c r="M283" s="259"/>
      <c r="N283" s="264"/>
      <c r="O283" s="136">
        <f>SUM(O284:O295)</f>
        <v>6459.600000000001</v>
      </c>
      <c r="P283" s="136">
        <f>SUM(P284:P295)</f>
        <v>0</v>
      </c>
      <c r="Q283" s="136">
        <f>SUM(Q284:Q295)</f>
        <v>0</v>
      </c>
      <c r="R283" s="296">
        <f>IF($A$1=A283,(J283/I283)/12*8,J283/I283)</f>
        <v>1</v>
      </c>
      <c r="S283" s="264"/>
      <c r="T283" s="259"/>
      <c r="U283" s="259"/>
      <c r="V283" s="259"/>
      <c r="W283" s="259"/>
      <c r="X283" s="259"/>
      <c r="Y283" s="259"/>
      <c r="Z283" s="259"/>
      <c r="AA283" s="259"/>
      <c r="AB283" s="259"/>
      <c r="AC283" s="259"/>
      <c r="AD283" s="259"/>
      <c r="AE283" s="259"/>
      <c r="AF283" s="259"/>
      <c r="AG283" s="259"/>
      <c r="AH283" s="259"/>
      <c r="AI283" s="259"/>
      <c r="AJ283" s="259"/>
      <c r="AK283" s="259"/>
      <c r="AL283" s="259"/>
      <c r="AM283" s="259"/>
      <c r="AN283" s="259"/>
      <c r="AO283" s="259"/>
      <c r="AP283" s="259"/>
      <c r="AQ283" s="259"/>
      <c r="AR283" s="259"/>
      <c r="AS283" s="259"/>
      <c r="AT283" s="259"/>
      <c r="AU283" s="259"/>
      <c r="AV283" s="259"/>
      <c r="AW283" s="259"/>
    </row>
    <row r="284" spans="1:49" ht="12">
      <c r="A284" s="284" t="s">
        <v>181</v>
      </c>
      <c r="B284" s="220"/>
      <c r="C284" s="285">
        <f>C282</f>
        <v>0</v>
      </c>
      <c r="D284" s="285">
        <f>D282</f>
        <v>0</v>
      </c>
      <c r="E284" s="184">
        <f aca="true" t="shared" si="212" ref="E284:E295">C284+D284</f>
        <v>0</v>
      </c>
      <c r="F284" s="285">
        <f>F282</f>
        <v>538.3</v>
      </c>
      <c r="G284" s="184">
        <f aca="true" t="shared" si="213" ref="G284:G295">SUM(E284:F284)</f>
        <v>538.3</v>
      </c>
      <c r="H284" s="285">
        <f>H282</f>
        <v>0</v>
      </c>
      <c r="I284" s="310">
        <f>I282</f>
        <v>18</v>
      </c>
      <c r="J284" s="310">
        <f>J282</f>
        <v>18</v>
      </c>
      <c r="K284" s="259"/>
      <c r="L284" s="259"/>
      <c r="M284" s="259"/>
      <c r="N284" s="20"/>
      <c r="O284" s="184">
        <f>G284/I284*J284</f>
        <v>538.3</v>
      </c>
      <c r="P284" s="184">
        <f>E284*0.18/I284*J284</f>
        <v>0</v>
      </c>
      <c r="Q284" s="184">
        <f>H284/I284*J284</f>
        <v>0</v>
      </c>
      <c r="R284" s="297"/>
      <c r="S284" s="20"/>
      <c r="T284" s="259"/>
      <c r="U284" s="259"/>
      <c r="V284" s="259"/>
      <c r="W284" s="259"/>
      <c r="X284" s="259"/>
      <c r="Y284" s="259"/>
      <c r="Z284" s="259"/>
      <c r="AA284" s="259"/>
      <c r="AB284" s="259"/>
      <c r="AC284" s="259"/>
      <c r="AD284" s="259"/>
      <c r="AE284" s="259"/>
      <c r="AF284" s="259"/>
      <c r="AG284" s="259"/>
      <c r="AH284" s="259"/>
      <c r="AI284" s="259"/>
      <c r="AJ284" s="259"/>
      <c r="AK284" s="259"/>
      <c r="AL284" s="259"/>
      <c r="AM284" s="259"/>
      <c r="AN284" s="259"/>
      <c r="AO284" s="259"/>
      <c r="AP284" s="259"/>
      <c r="AQ284" s="259"/>
      <c r="AR284" s="259"/>
      <c r="AS284" s="259"/>
      <c r="AT284" s="259"/>
      <c r="AU284" s="259"/>
      <c r="AV284" s="259"/>
      <c r="AW284" s="259"/>
    </row>
    <row r="285" spans="1:49" ht="15">
      <c r="A285" s="284" t="s">
        <v>182</v>
      </c>
      <c r="B285" s="220"/>
      <c r="C285" s="285">
        <f aca="true" t="shared" si="214" ref="C285:D295">C284</f>
        <v>0</v>
      </c>
      <c r="D285" s="285">
        <f t="shared" si="214"/>
        <v>0</v>
      </c>
      <c r="E285" s="184">
        <f t="shared" si="212"/>
        <v>0</v>
      </c>
      <c r="F285" s="285">
        <f aca="true" t="shared" si="215" ref="F285:F292">F284</f>
        <v>538.3</v>
      </c>
      <c r="G285" s="184">
        <f t="shared" si="213"/>
        <v>538.3</v>
      </c>
      <c r="H285" s="285">
        <f aca="true" t="shared" si="216" ref="H285:H295">H284</f>
        <v>0</v>
      </c>
      <c r="I285" s="310">
        <f aca="true" t="shared" si="217" ref="I285:I295">I284</f>
        <v>18</v>
      </c>
      <c r="J285" s="310">
        <f aca="true" t="shared" si="218" ref="J285:J295">J284</f>
        <v>18</v>
      </c>
      <c r="K285" s="259"/>
      <c r="L285" s="259"/>
      <c r="M285" s="259"/>
      <c r="N285" s="264"/>
      <c r="O285" s="184">
        <f aca="true" t="shared" si="219" ref="O285:O295">G285/I285*J285</f>
        <v>538.3</v>
      </c>
      <c r="P285" s="184">
        <f aca="true" t="shared" si="220" ref="P285:P295">E285*0.18/I285*J285</f>
        <v>0</v>
      </c>
      <c r="Q285" s="184">
        <f aca="true" t="shared" si="221" ref="Q285:Q295">H285/I285*J285</f>
        <v>0</v>
      </c>
      <c r="R285" s="297"/>
      <c r="S285" s="264"/>
      <c r="T285" s="259"/>
      <c r="U285" s="259"/>
      <c r="V285" s="259"/>
      <c r="W285" s="259"/>
      <c r="X285" s="259"/>
      <c r="Y285" s="259"/>
      <c r="Z285" s="259"/>
      <c r="AA285" s="259"/>
      <c r="AB285" s="259"/>
      <c r="AC285" s="259"/>
      <c r="AD285" s="259"/>
      <c r="AE285" s="259"/>
      <c r="AF285" s="259"/>
      <c r="AG285" s="259"/>
      <c r="AH285" s="259"/>
      <c r="AI285" s="259"/>
      <c r="AJ285" s="259"/>
      <c r="AK285" s="259"/>
      <c r="AL285" s="259"/>
      <c r="AM285" s="259"/>
      <c r="AN285" s="259"/>
      <c r="AO285" s="259"/>
      <c r="AP285" s="259"/>
      <c r="AQ285" s="259"/>
      <c r="AR285" s="259"/>
      <c r="AS285" s="259"/>
      <c r="AT285" s="259"/>
      <c r="AU285" s="259"/>
      <c r="AV285" s="259"/>
      <c r="AW285" s="259"/>
    </row>
    <row r="286" spans="1:49" ht="12">
      <c r="A286" s="284" t="s">
        <v>183</v>
      </c>
      <c r="B286" s="220"/>
      <c r="C286" s="285">
        <f t="shared" si="214"/>
        <v>0</v>
      </c>
      <c r="D286" s="285">
        <f t="shared" si="214"/>
        <v>0</v>
      </c>
      <c r="E286" s="184">
        <f t="shared" si="212"/>
        <v>0</v>
      </c>
      <c r="F286" s="285">
        <f t="shared" si="215"/>
        <v>538.3</v>
      </c>
      <c r="G286" s="184">
        <f t="shared" si="213"/>
        <v>538.3</v>
      </c>
      <c r="H286" s="285">
        <f t="shared" si="216"/>
        <v>0</v>
      </c>
      <c r="I286" s="310">
        <f t="shared" si="217"/>
        <v>18</v>
      </c>
      <c r="J286" s="310">
        <f t="shared" si="218"/>
        <v>18</v>
      </c>
      <c r="K286" s="259"/>
      <c r="L286" s="259"/>
      <c r="M286" s="259"/>
      <c r="N286" s="20"/>
      <c r="O286" s="184">
        <f t="shared" si="219"/>
        <v>538.3</v>
      </c>
      <c r="P286" s="184">
        <f t="shared" si="220"/>
        <v>0</v>
      </c>
      <c r="Q286" s="184">
        <f t="shared" si="221"/>
        <v>0</v>
      </c>
      <c r="R286" s="297"/>
      <c r="S286" s="20"/>
      <c r="T286" s="259"/>
      <c r="U286" s="259"/>
      <c r="V286" s="259"/>
      <c r="W286" s="259"/>
      <c r="X286" s="259"/>
      <c r="Y286" s="259"/>
      <c r="Z286" s="259"/>
      <c r="AA286" s="259"/>
      <c r="AB286" s="259"/>
      <c r="AC286" s="259"/>
      <c r="AD286" s="259"/>
      <c r="AE286" s="259"/>
      <c r="AF286" s="259"/>
      <c r="AG286" s="259"/>
      <c r="AH286" s="259"/>
      <c r="AI286" s="259"/>
      <c r="AJ286" s="259"/>
      <c r="AK286" s="259"/>
      <c r="AL286" s="259"/>
      <c r="AM286" s="259"/>
      <c r="AN286" s="259"/>
      <c r="AO286" s="259"/>
      <c r="AP286" s="259"/>
      <c r="AQ286" s="259"/>
      <c r="AR286" s="259"/>
      <c r="AS286" s="259"/>
      <c r="AT286" s="259"/>
      <c r="AU286" s="259"/>
      <c r="AV286" s="259"/>
      <c r="AW286" s="259"/>
    </row>
    <row r="287" spans="1:49" ht="15">
      <c r="A287" s="284" t="s">
        <v>184</v>
      </c>
      <c r="B287" s="220"/>
      <c r="C287" s="285">
        <f t="shared" si="214"/>
        <v>0</v>
      </c>
      <c r="D287" s="285">
        <f t="shared" si="214"/>
        <v>0</v>
      </c>
      <c r="E287" s="184">
        <f t="shared" si="212"/>
        <v>0</v>
      </c>
      <c r="F287" s="285">
        <f t="shared" si="215"/>
        <v>538.3</v>
      </c>
      <c r="G287" s="184">
        <f t="shared" si="213"/>
        <v>538.3</v>
      </c>
      <c r="H287" s="285">
        <f t="shared" si="216"/>
        <v>0</v>
      </c>
      <c r="I287" s="310">
        <f t="shared" si="217"/>
        <v>18</v>
      </c>
      <c r="J287" s="310">
        <f t="shared" si="218"/>
        <v>18</v>
      </c>
      <c r="K287" s="259"/>
      <c r="L287" s="259"/>
      <c r="M287" s="259"/>
      <c r="N287" s="264"/>
      <c r="O287" s="184">
        <f t="shared" si="219"/>
        <v>538.3</v>
      </c>
      <c r="P287" s="184">
        <f t="shared" si="220"/>
        <v>0</v>
      </c>
      <c r="Q287" s="184">
        <f t="shared" si="221"/>
        <v>0</v>
      </c>
      <c r="R287" s="297"/>
      <c r="S287" s="264"/>
      <c r="T287" s="259"/>
      <c r="U287" s="259"/>
      <c r="V287" s="259"/>
      <c r="W287" s="259"/>
      <c r="X287" s="259"/>
      <c r="Y287" s="259"/>
      <c r="Z287" s="259"/>
      <c r="AA287" s="259"/>
      <c r="AB287" s="259"/>
      <c r="AC287" s="259"/>
      <c r="AD287" s="259"/>
      <c r="AE287" s="259"/>
      <c r="AF287" s="259"/>
      <c r="AG287" s="259"/>
      <c r="AH287" s="259"/>
      <c r="AI287" s="259"/>
      <c r="AJ287" s="259"/>
      <c r="AK287" s="259"/>
      <c r="AL287" s="259"/>
      <c r="AM287" s="259"/>
      <c r="AN287" s="259"/>
      <c r="AO287" s="259"/>
      <c r="AP287" s="259"/>
      <c r="AQ287" s="259"/>
      <c r="AR287" s="259"/>
      <c r="AS287" s="259"/>
      <c r="AT287" s="259"/>
      <c r="AU287" s="259"/>
      <c r="AV287" s="259"/>
      <c r="AW287" s="259"/>
    </row>
    <row r="288" spans="1:49" ht="12">
      <c r="A288" s="284" t="s">
        <v>185</v>
      </c>
      <c r="B288" s="220"/>
      <c r="C288" s="285">
        <f t="shared" si="214"/>
        <v>0</v>
      </c>
      <c r="D288" s="285">
        <f t="shared" si="214"/>
        <v>0</v>
      </c>
      <c r="E288" s="184">
        <f t="shared" si="212"/>
        <v>0</v>
      </c>
      <c r="F288" s="285">
        <f t="shared" si="215"/>
        <v>538.3</v>
      </c>
      <c r="G288" s="184">
        <f t="shared" si="213"/>
        <v>538.3</v>
      </c>
      <c r="H288" s="285">
        <f t="shared" si="216"/>
        <v>0</v>
      </c>
      <c r="I288" s="310">
        <f t="shared" si="217"/>
        <v>18</v>
      </c>
      <c r="J288" s="310">
        <f t="shared" si="218"/>
        <v>18</v>
      </c>
      <c r="K288" s="259"/>
      <c r="L288" s="259"/>
      <c r="M288" s="259"/>
      <c r="N288" s="20"/>
      <c r="O288" s="184">
        <f t="shared" si="219"/>
        <v>538.3</v>
      </c>
      <c r="P288" s="184">
        <f t="shared" si="220"/>
        <v>0</v>
      </c>
      <c r="Q288" s="184">
        <f t="shared" si="221"/>
        <v>0</v>
      </c>
      <c r="R288" s="297"/>
      <c r="S288" s="20"/>
      <c r="T288" s="259"/>
      <c r="U288" s="259"/>
      <c r="V288" s="259"/>
      <c r="W288" s="259"/>
      <c r="X288" s="259"/>
      <c r="Y288" s="259"/>
      <c r="Z288" s="259"/>
      <c r="AA288" s="259"/>
      <c r="AB288" s="259"/>
      <c r="AC288" s="259"/>
      <c r="AD288" s="259"/>
      <c r="AE288" s="259"/>
      <c r="AF288" s="259"/>
      <c r="AG288" s="259"/>
      <c r="AH288" s="259"/>
      <c r="AI288" s="259"/>
      <c r="AJ288" s="259"/>
      <c r="AK288" s="259"/>
      <c r="AL288" s="259"/>
      <c r="AM288" s="259"/>
      <c r="AN288" s="259"/>
      <c r="AO288" s="259"/>
      <c r="AP288" s="259"/>
      <c r="AQ288" s="259"/>
      <c r="AR288" s="259"/>
      <c r="AS288" s="259"/>
      <c r="AT288" s="259"/>
      <c r="AU288" s="259"/>
      <c r="AV288" s="259"/>
      <c r="AW288" s="259"/>
    </row>
    <row r="289" spans="1:49" ht="15">
      <c r="A289" s="284" t="s">
        <v>186</v>
      </c>
      <c r="B289" s="220"/>
      <c r="C289" s="285">
        <f t="shared" si="214"/>
        <v>0</v>
      </c>
      <c r="D289" s="285">
        <f t="shared" si="214"/>
        <v>0</v>
      </c>
      <c r="E289" s="184">
        <f t="shared" si="212"/>
        <v>0</v>
      </c>
      <c r="F289" s="285">
        <f t="shared" si="215"/>
        <v>538.3</v>
      </c>
      <c r="G289" s="184">
        <f t="shared" si="213"/>
        <v>538.3</v>
      </c>
      <c r="H289" s="285">
        <f t="shared" si="216"/>
        <v>0</v>
      </c>
      <c r="I289" s="310">
        <f t="shared" si="217"/>
        <v>18</v>
      </c>
      <c r="J289" s="310">
        <f t="shared" si="218"/>
        <v>18</v>
      </c>
      <c r="K289" s="259"/>
      <c r="L289" s="259"/>
      <c r="M289" s="259"/>
      <c r="N289" s="264"/>
      <c r="O289" s="184">
        <f t="shared" si="219"/>
        <v>538.3</v>
      </c>
      <c r="P289" s="184">
        <f t="shared" si="220"/>
        <v>0</v>
      </c>
      <c r="Q289" s="184">
        <f t="shared" si="221"/>
        <v>0</v>
      </c>
      <c r="R289" s="297"/>
      <c r="S289" s="264"/>
      <c r="T289" s="259"/>
      <c r="U289" s="259"/>
      <c r="V289" s="259"/>
      <c r="W289" s="259"/>
      <c r="X289" s="259"/>
      <c r="Y289" s="259"/>
      <c r="Z289" s="259"/>
      <c r="AA289" s="259"/>
      <c r="AB289" s="259"/>
      <c r="AC289" s="259"/>
      <c r="AD289" s="259"/>
      <c r="AE289" s="259"/>
      <c r="AF289" s="259"/>
      <c r="AG289" s="259"/>
      <c r="AH289" s="259"/>
      <c r="AI289" s="259"/>
      <c r="AJ289" s="259"/>
      <c r="AK289" s="259"/>
      <c r="AL289" s="259"/>
      <c r="AM289" s="259"/>
      <c r="AN289" s="259"/>
      <c r="AO289" s="259"/>
      <c r="AP289" s="259"/>
      <c r="AQ289" s="259"/>
      <c r="AR289" s="259"/>
      <c r="AS289" s="259"/>
      <c r="AT289" s="259"/>
      <c r="AU289" s="259"/>
      <c r="AV289" s="259"/>
      <c r="AW289" s="259"/>
    </row>
    <row r="290" spans="1:49" ht="12">
      <c r="A290" s="284" t="s">
        <v>187</v>
      </c>
      <c r="B290" s="220"/>
      <c r="C290" s="285">
        <f t="shared" si="214"/>
        <v>0</v>
      </c>
      <c r="D290" s="285">
        <f t="shared" si="214"/>
        <v>0</v>
      </c>
      <c r="E290" s="184">
        <f t="shared" si="212"/>
        <v>0</v>
      </c>
      <c r="F290" s="285">
        <f t="shared" si="215"/>
        <v>538.3</v>
      </c>
      <c r="G290" s="184">
        <f t="shared" si="213"/>
        <v>538.3</v>
      </c>
      <c r="H290" s="285">
        <f t="shared" si="216"/>
        <v>0</v>
      </c>
      <c r="I290" s="310">
        <f t="shared" si="217"/>
        <v>18</v>
      </c>
      <c r="J290" s="310">
        <f t="shared" si="218"/>
        <v>18</v>
      </c>
      <c r="K290" s="259"/>
      <c r="L290" s="259"/>
      <c r="M290" s="259"/>
      <c r="N290" s="20"/>
      <c r="O290" s="184">
        <f t="shared" si="219"/>
        <v>538.3</v>
      </c>
      <c r="P290" s="184">
        <f t="shared" si="220"/>
        <v>0</v>
      </c>
      <c r="Q290" s="184">
        <f t="shared" si="221"/>
        <v>0</v>
      </c>
      <c r="R290" s="297"/>
      <c r="S290" s="20"/>
      <c r="T290" s="259"/>
      <c r="U290" s="259"/>
      <c r="V290" s="259"/>
      <c r="W290" s="259"/>
      <c r="X290" s="259"/>
      <c r="Y290" s="259"/>
      <c r="Z290" s="259"/>
      <c r="AA290" s="259"/>
      <c r="AB290" s="259"/>
      <c r="AC290" s="259"/>
      <c r="AD290" s="259"/>
      <c r="AE290" s="259"/>
      <c r="AF290" s="259"/>
      <c r="AG290" s="259"/>
      <c r="AH290" s="259"/>
      <c r="AI290" s="259"/>
      <c r="AJ290" s="259"/>
      <c r="AK290" s="259"/>
      <c r="AL290" s="259"/>
      <c r="AM290" s="259"/>
      <c r="AN290" s="259"/>
      <c r="AO290" s="259"/>
      <c r="AP290" s="259"/>
      <c r="AQ290" s="259"/>
      <c r="AR290" s="259"/>
      <c r="AS290" s="259"/>
      <c r="AT290" s="259"/>
      <c r="AU290" s="259"/>
      <c r="AV290" s="259"/>
      <c r="AW290" s="259"/>
    </row>
    <row r="291" spans="1:49" ht="15">
      <c r="A291" s="284" t="s">
        <v>188</v>
      </c>
      <c r="B291" s="220"/>
      <c r="C291" s="285">
        <f t="shared" si="214"/>
        <v>0</v>
      </c>
      <c r="D291" s="285">
        <f t="shared" si="214"/>
        <v>0</v>
      </c>
      <c r="E291" s="184">
        <f t="shared" si="212"/>
        <v>0</v>
      </c>
      <c r="F291" s="285">
        <f t="shared" si="215"/>
        <v>538.3</v>
      </c>
      <c r="G291" s="184">
        <f t="shared" si="213"/>
        <v>538.3</v>
      </c>
      <c r="H291" s="285">
        <f t="shared" si="216"/>
        <v>0</v>
      </c>
      <c r="I291" s="310">
        <f t="shared" si="217"/>
        <v>18</v>
      </c>
      <c r="J291" s="310">
        <f t="shared" si="218"/>
        <v>18</v>
      </c>
      <c r="K291" s="259"/>
      <c r="L291" s="259"/>
      <c r="M291" s="259"/>
      <c r="N291" s="264"/>
      <c r="O291" s="184">
        <f t="shared" si="219"/>
        <v>538.3</v>
      </c>
      <c r="P291" s="184">
        <f t="shared" si="220"/>
        <v>0</v>
      </c>
      <c r="Q291" s="184">
        <f t="shared" si="221"/>
        <v>0</v>
      </c>
      <c r="R291" s="297"/>
      <c r="S291" s="264"/>
      <c r="T291" s="259"/>
      <c r="U291" s="259"/>
      <c r="V291" s="259"/>
      <c r="W291" s="259"/>
      <c r="X291" s="259"/>
      <c r="Y291" s="259"/>
      <c r="Z291" s="259"/>
      <c r="AA291" s="259"/>
      <c r="AB291" s="259"/>
      <c r="AC291" s="259"/>
      <c r="AD291" s="259"/>
      <c r="AE291" s="259"/>
      <c r="AF291" s="259"/>
      <c r="AG291" s="259"/>
      <c r="AH291" s="259"/>
      <c r="AI291" s="259"/>
      <c r="AJ291" s="259"/>
      <c r="AK291" s="259"/>
      <c r="AL291" s="259"/>
      <c r="AM291" s="259"/>
      <c r="AN291" s="259"/>
      <c r="AO291" s="259"/>
      <c r="AP291" s="259"/>
      <c r="AQ291" s="259"/>
      <c r="AR291" s="259"/>
      <c r="AS291" s="259"/>
      <c r="AT291" s="259"/>
      <c r="AU291" s="259"/>
      <c r="AV291" s="259"/>
      <c r="AW291" s="259"/>
    </row>
    <row r="292" spans="1:49" ht="12">
      <c r="A292" s="284" t="s">
        <v>189</v>
      </c>
      <c r="B292" s="220"/>
      <c r="C292" s="285">
        <f t="shared" si="214"/>
        <v>0</v>
      </c>
      <c r="D292" s="285">
        <f t="shared" si="214"/>
        <v>0</v>
      </c>
      <c r="E292" s="184">
        <f t="shared" si="212"/>
        <v>0</v>
      </c>
      <c r="F292" s="285">
        <f t="shared" si="215"/>
        <v>538.3</v>
      </c>
      <c r="G292" s="184">
        <f t="shared" si="213"/>
        <v>538.3</v>
      </c>
      <c r="H292" s="285">
        <f t="shared" si="216"/>
        <v>0</v>
      </c>
      <c r="I292" s="310">
        <f t="shared" si="217"/>
        <v>18</v>
      </c>
      <c r="J292" s="310">
        <f t="shared" si="218"/>
        <v>18</v>
      </c>
      <c r="K292" s="259"/>
      <c r="L292" s="259"/>
      <c r="M292" s="259"/>
      <c r="N292" s="20"/>
      <c r="O292" s="184">
        <f t="shared" si="219"/>
        <v>538.3</v>
      </c>
      <c r="P292" s="184">
        <f t="shared" si="220"/>
        <v>0</v>
      </c>
      <c r="Q292" s="184">
        <f t="shared" si="221"/>
        <v>0</v>
      </c>
      <c r="R292" s="297"/>
      <c r="S292" s="20"/>
      <c r="T292" s="259"/>
      <c r="U292" s="259"/>
      <c r="V292" s="259"/>
      <c r="W292" s="259"/>
      <c r="X292" s="259"/>
      <c r="Y292" s="259"/>
      <c r="Z292" s="259"/>
      <c r="AA292" s="259"/>
      <c r="AB292" s="259"/>
      <c r="AC292" s="259"/>
      <c r="AD292" s="259"/>
      <c r="AE292" s="259"/>
      <c r="AF292" s="259"/>
      <c r="AG292" s="259"/>
      <c r="AH292" s="259"/>
      <c r="AI292" s="259"/>
      <c r="AJ292" s="259"/>
      <c r="AK292" s="259"/>
      <c r="AL292" s="259"/>
      <c r="AM292" s="259"/>
      <c r="AN292" s="259"/>
      <c r="AO292" s="259"/>
      <c r="AP292" s="259"/>
      <c r="AQ292" s="259"/>
      <c r="AR292" s="259"/>
      <c r="AS292" s="259"/>
      <c r="AT292" s="259"/>
      <c r="AU292" s="259"/>
      <c r="AV292" s="259"/>
      <c r="AW292" s="259"/>
    </row>
    <row r="293" spans="1:49" ht="15">
      <c r="A293" s="284" t="s">
        <v>190</v>
      </c>
      <c r="B293" s="220"/>
      <c r="C293" s="285">
        <f t="shared" si="214"/>
        <v>0</v>
      </c>
      <c r="D293" s="285">
        <f t="shared" si="214"/>
        <v>0</v>
      </c>
      <c r="E293" s="184">
        <f t="shared" si="212"/>
        <v>0</v>
      </c>
      <c r="F293" s="285">
        <f>F292</f>
        <v>538.3</v>
      </c>
      <c r="G293" s="184">
        <f t="shared" si="213"/>
        <v>538.3</v>
      </c>
      <c r="H293" s="285">
        <f t="shared" si="216"/>
        <v>0</v>
      </c>
      <c r="I293" s="310">
        <f t="shared" si="217"/>
        <v>18</v>
      </c>
      <c r="J293" s="310">
        <f t="shared" si="218"/>
        <v>18</v>
      </c>
      <c r="K293" s="259"/>
      <c r="L293" s="259"/>
      <c r="M293" s="259"/>
      <c r="N293" s="264"/>
      <c r="O293" s="184">
        <f t="shared" si="219"/>
        <v>538.3</v>
      </c>
      <c r="P293" s="184">
        <f t="shared" si="220"/>
        <v>0</v>
      </c>
      <c r="Q293" s="184">
        <f t="shared" si="221"/>
        <v>0</v>
      </c>
      <c r="R293" s="297"/>
      <c r="S293" s="264"/>
      <c r="T293" s="259"/>
      <c r="U293" s="259"/>
      <c r="V293" s="259"/>
      <c r="W293" s="259"/>
      <c r="X293" s="259"/>
      <c r="Y293" s="259"/>
      <c r="Z293" s="259"/>
      <c r="AA293" s="259"/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/>
      <c r="AU293" s="259"/>
      <c r="AV293" s="259"/>
      <c r="AW293" s="259"/>
    </row>
    <row r="294" spans="1:49" ht="12">
      <c r="A294" s="284" t="s">
        <v>191</v>
      </c>
      <c r="B294" s="220"/>
      <c r="C294" s="285">
        <f t="shared" si="214"/>
        <v>0</v>
      </c>
      <c r="D294" s="285">
        <f t="shared" si="214"/>
        <v>0</v>
      </c>
      <c r="E294" s="184">
        <f t="shared" si="212"/>
        <v>0</v>
      </c>
      <c r="F294" s="285">
        <f>F293</f>
        <v>538.3</v>
      </c>
      <c r="G294" s="184">
        <f t="shared" si="213"/>
        <v>538.3</v>
      </c>
      <c r="H294" s="285">
        <f t="shared" si="216"/>
        <v>0</v>
      </c>
      <c r="I294" s="310">
        <f t="shared" si="217"/>
        <v>18</v>
      </c>
      <c r="J294" s="310">
        <f t="shared" si="218"/>
        <v>18</v>
      </c>
      <c r="K294" s="259"/>
      <c r="L294" s="259"/>
      <c r="M294" s="259"/>
      <c r="N294" s="20"/>
      <c r="O294" s="184">
        <f t="shared" si="219"/>
        <v>538.3</v>
      </c>
      <c r="P294" s="184">
        <f t="shared" si="220"/>
        <v>0</v>
      </c>
      <c r="Q294" s="184">
        <f t="shared" si="221"/>
        <v>0</v>
      </c>
      <c r="R294" s="297"/>
      <c r="S294" s="20"/>
      <c r="T294" s="259"/>
      <c r="U294" s="259"/>
      <c r="V294" s="259"/>
      <c r="W294" s="259"/>
      <c r="X294" s="259"/>
      <c r="Y294" s="259"/>
      <c r="Z294" s="259"/>
      <c r="AA294" s="259"/>
      <c r="AB294" s="259"/>
      <c r="AC294" s="259"/>
      <c r="AD294" s="259"/>
      <c r="AE294" s="259"/>
      <c r="AF294" s="259"/>
      <c r="AG294" s="259"/>
      <c r="AH294" s="259"/>
      <c r="AI294" s="259"/>
      <c r="AJ294" s="259"/>
      <c r="AK294" s="259"/>
      <c r="AL294" s="259"/>
      <c r="AM294" s="259"/>
      <c r="AN294" s="259"/>
      <c r="AO294" s="259"/>
      <c r="AP294" s="259"/>
      <c r="AQ294" s="259"/>
      <c r="AR294" s="259"/>
      <c r="AS294" s="259"/>
      <c r="AT294" s="259"/>
      <c r="AU294" s="259"/>
      <c r="AV294" s="259"/>
      <c r="AW294" s="259"/>
    </row>
    <row r="295" spans="1:49" ht="15">
      <c r="A295" s="284" t="s">
        <v>192</v>
      </c>
      <c r="B295" s="220"/>
      <c r="C295" s="285">
        <f t="shared" si="214"/>
        <v>0</v>
      </c>
      <c r="D295" s="285">
        <f t="shared" si="214"/>
        <v>0</v>
      </c>
      <c r="E295" s="184">
        <f t="shared" si="212"/>
        <v>0</v>
      </c>
      <c r="F295" s="285">
        <f>F294</f>
        <v>538.3</v>
      </c>
      <c r="G295" s="184">
        <f t="shared" si="213"/>
        <v>538.3</v>
      </c>
      <c r="H295" s="285">
        <f t="shared" si="216"/>
        <v>0</v>
      </c>
      <c r="I295" s="310">
        <f t="shared" si="217"/>
        <v>18</v>
      </c>
      <c r="J295" s="310">
        <f t="shared" si="218"/>
        <v>18</v>
      </c>
      <c r="K295" s="259"/>
      <c r="L295" s="259"/>
      <c r="M295" s="259"/>
      <c r="N295" s="264"/>
      <c r="O295" s="184">
        <f t="shared" si="219"/>
        <v>538.3</v>
      </c>
      <c r="P295" s="184">
        <f t="shared" si="220"/>
        <v>0</v>
      </c>
      <c r="Q295" s="184">
        <f t="shared" si="221"/>
        <v>0</v>
      </c>
      <c r="R295" s="297"/>
      <c r="S295" s="264"/>
      <c r="T295" s="259"/>
      <c r="U295" s="259"/>
      <c r="V295" s="259"/>
      <c r="W295" s="259"/>
      <c r="X295" s="259"/>
      <c r="Y295" s="259"/>
      <c r="Z295" s="259"/>
      <c r="AA295" s="259"/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/>
      <c r="AU295" s="259"/>
      <c r="AV295" s="259"/>
      <c r="AW295" s="259"/>
    </row>
    <row r="296" spans="1:49" ht="12.75">
      <c r="A296" s="282">
        <f>A283+1</f>
        <v>2015</v>
      </c>
      <c r="B296" s="28"/>
      <c r="C296" s="28"/>
      <c r="D296" s="28"/>
      <c r="E296" s="306">
        <f>SUM(E297:E308)</f>
        <v>0</v>
      </c>
      <c r="F296" s="287"/>
      <c r="G296" s="283">
        <f>SUM(G297:G308)</f>
        <v>4306.400000000001</v>
      </c>
      <c r="H296" s="309">
        <f>SUM(H297:H308)</f>
        <v>0</v>
      </c>
      <c r="I296" s="311">
        <f>SUM(I297:I308)</f>
        <v>216</v>
      </c>
      <c r="J296" s="311">
        <f>SUM(J297:J308)</f>
        <v>216</v>
      </c>
      <c r="K296" s="259"/>
      <c r="L296" s="259"/>
      <c r="M296" s="259"/>
      <c r="N296" s="20"/>
      <c r="O296" s="136">
        <f>SUM(O297:O308)</f>
        <v>4306.400000000001</v>
      </c>
      <c r="P296" s="136">
        <f>SUM(P297:P308)</f>
        <v>0</v>
      </c>
      <c r="Q296" s="136">
        <f>SUM(Q297:Q308)</f>
        <v>0</v>
      </c>
      <c r="R296" s="296">
        <f>IF($A$1=A296,(J296/I296)/12*8,J296/I296)</f>
        <v>1</v>
      </c>
      <c r="S296" s="20"/>
      <c r="T296" s="259"/>
      <c r="U296" s="259"/>
      <c r="V296" s="259"/>
      <c r="W296" s="259"/>
      <c r="X296" s="259"/>
      <c r="Y296" s="259"/>
      <c r="Z296" s="259"/>
      <c r="AA296" s="259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  <c r="AU296" s="259"/>
      <c r="AV296" s="259"/>
      <c r="AW296" s="259"/>
    </row>
    <row r="297" spans="1:49" ht="15">
      <c r="A297" s="284" t="s">
        <v>181</v>
      </c>
      <c r="B297" s="220"/>
      <c r="C297" s="285">
        <f>C295</f>
        <v>0</v>
      </c>
      <c r="D297" s="285">
        <f>D295</f>
        <v>0</v>
      </c>
      <c r="E297" s="184">
        <f aca="true" t="shared" si="222" ref="E297:E308">C297+D297</f>
        <v>0</v>
      </c>
      <c r="F297" s="285">
        <f>F295</f>
        <v>538.3</v>
      </c>
      <c r="G297" s="184">
        <f aca="true" t="shared" si="223" ref="G297:G308">SUM(E297:F297)</f>
        <v>538.3</v>
      </c>
      <c r="H297" s="285">
        <f>H295</f>
        <v>0</v>
      </c>
      <c r="I297" s="310">
        <f>I295</f>
        <v>18</v>
      </c>
      <c r="J297" s="310">
        <f>J295</f>
        <v>18</v>
      </c>
      <c r="K297" s="259"/>
      <c r="L297" s="259"/>
      <c r="M297" s="259"/>
      <c r="N297" s="264"/>
      <c r="O297" s="184">
        <f>G297/I297*J297</f>
        <v>538.3</v>
      </c>
      <c r="P297" s="184">
        <f>E297*0.18/I297*J297</f>
        <v>0</v>
      </c>
      <c r="Q297" s="184">
        <f>H297/I297*J297</f>
        <v>0</v>
      </c>
      <c r="R297" s="297"/>
      <c r="S297" s="264"/>
      <c r="T297" s="259"/>
      <c r="U297" s="259"/>
      <c r="V297" s="259"/>
      <c r="W297" s="259"/>
      <c r="X297" s="259"/>
      <c r="Y297" s="259"/>
      <c r="Z297" s="259"/>
      <c r="AA297" s="259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  <c r="AU297" s="259"/>
      <c r="AV297" s="259"/>
      <c r="AW297" s="259"/>
    </row>
    <row r="298" spans="1:49" ht="12">
      <c r="A298" s="284" t="s">
        <v>182</v>
      </c>
      <c r="B298" s="220"/>
      <c r="C298" s="285">
        <f aca="true" t="shared" si="224" ref="C298:D308">C297</f>
        <v>0</v>
      </c>
      <c r="D298" s="285">
        <f t="shared" si="224"/>
        <v>0</v>
      </c>
      <c r="E298" s="184">
        <f t="shared" si="222"/>
        <v>0</v>
      </c>
      <c r="F298" s="285">
        <f aca="true" t="shared" si="225" ref="F298:F304">F297</f>
        <v>538.3</v>
      </c>
      <c r="G298" s="184">
        <f t="shared" si="223"/>
        <v>538.3</v>
      </c>
      <c r="H298" s="285">
        <f aca="true" t="shared" si="226" ref="H298:H308">H297</f>
        <v>0</v>
      </c>
      <c r="I298" s="310">
        <f aca="true" t="shared" si="227" ref="I298:I308">I297</f>
        <v>18</v>
      </c>
      <c r="J298" s="310">
        <f aca="true" t="shared" si="228" ref="J298:J308">J297</f>
        <v>18</v>
      </c>
      <c r="K298" s="259"/>
      <c r="L298" s="259"/>
      <c r="M298" s="259"/>
      <c r="N298" s="20"/>
      <c r="O298" s="184">
        <f aca="true" t="shared" si="229" ref="O298:O308">G298/I298*J298</f>
        <v>538.3</v>
      </c>
      <c r="P298" s="184">
        <f aca="true" t="shared" si="230" ref="P298:P308">E298*0.18/I298*J298</f>
        <v>0</v>
      </c>
      <c r="Q298" s="184">
        <f aca="true" t="shared" si="231" ref="Q298:Q308">H298/I298*J298</f>
        <v>0</v>
      </c>
      <c r="R298" s="297"/>
      <c r="S298" s="20"/>
      <c r="T298" s="259"/>
      <c r="U298" s="259"/>
      <c r="V298" s="259"/>
      <c r="W298" s="259"/>
      <c r="X298" s="259"/>
      <c r="Y298" s="259"/>
      <c r="Z298" s="259"/>
      <c r="AA298" s="259"/>
      <c r="AB298" s="259"/>
      <c r="AC298" s="259"/>
      <c r="AD298" s="259"/>
      <c r="AE298" s="259"/>
      <c r="AF298" s="259"/>
      <c r="AG298" s="259"/>
      <c r="AH298" s="259"/>
      <c r="AI298" s="259"/>
      <c r="AJ298" s="259"/>
      <c r="AK298" s="259"/>
      <c r="AL298" s="259"/>
      <c r="AM298" s="259"/>
      <c r="AN298" s="259"/>
      <c r="AO298" s="259"/>
      <c r="AP298" s="259"/>
      <c r="AQ298" s="259"/>
      <c r="AR298" s="259"/>
      <c r="AS298" s="259"/>
      <c r="AT298" s="259"/>
      <c r="AU298" s="259"/>
      <c r="AV298" s="259"/>
      <c r="AW298" s="259"/>
    </row>
    <row r="299" spans="1:49" ht="15">
      <c r="A299" s="284" t="s">
        <v>183</v>
      </c>
      <c r="B299" s="220"/>
      <c r="C299" s="285">
        <f t="shared" si="224"/>
        <v>0</v>
      </c>
      <c r="D299" s="285">
        <f t="shared" si="224"/>
        <v>0</v>
      </c>
      <c r="E299" s="184">
        <f t="shared" si="222"/>
        <v>0</v>
      </c>
      <c r="F299" s="285">
        <f t="shared" si="225"/>
        <v>538.3</v>
      </c>
      <c r="G299" s="184">
        <f t="shared" si="223"/>
        <v>538.3</v>
      </c>
      <c r="H299" s="285">
        <f t="shared" si="226"/>
        <v>0</v>
      </c>
      <c r="I299" s="310">
        <f t="shared" si="227"/>
        <v>18</v>
      </c>
      <c r="J299" s="310">
        <f t="shared" si="228"/>
        <v>18</v>
      </c>
      <c r="K299" s="259"/>
      <c r="L299" s="259"/>
      <c r="M299" s="259"/>
      <c r="N299" s="264"/>
      <c r="O299" s="184">
        <f t="shared" si="229"/>
        <v>538.3</v>
      </c>
      <c r="P299" s="184">
        <f t="shared" si="230"/>
        <v>0</v>
      </c>
      <c r="Q299" s="184">
        <f t="shared" si="231"/>
        <v>0</v>
      </c>
      <c r="R299" s="297"/>
      <c r="S299" s="264"/>
      <c r="T299" s="259"/>
      <c r="U299" s="259"/>
      <c r="V299" s="259"/>
      <c r="W299" s="259"/>
      <c r="X299" s="259"/>
      <c r="Y299" s="259"/>
      <c r="Z299" s="259"/>
      <c r="AA299" s="259"/>
      <c r="AB299" s="259"/>
      <c r="AC299" s="259"/>
      <c r="AD299" s="259"/>
      <c r="AE299" s="259"/>
      <c r="AF299" s="259"/>
      <c r="AG299" s="259"/>
      <c r="AH299" s="259"/>
      <c r="AI299" s="259"/>
      <c r="AJ299" s="259"/>
      <c r="AK299" s="259"/>
      <c r="AL299" s="259"/>
      <c r="AM299" s="259"/>
      <c r="AN299" s="259"/>
      <c r="AO299" s="259"/>
      <c r="AP299" s="259"/>
      <c r="AQ299" s="259"/>
      <c r="AR299" s="259"/>
      <c r="AS299" s="259"/>
      <c r="AT299" s="259"/>
      <c r="AU299" s="259"/>
      <c r="AV299" s="259"/>
      <c r="AW299" s="259"/>
    </row>
    <row r="300" spans="1:49" ht="12">
      <c r="A300" s="284" t="s">
        <v>184</v>
      </c>
      <c r="B300" s="220"/>
      <c r="C300" s="285">
        <f t="shared" si="224"/>
        <v>0</v>
      </c>
      <c r="D300" s="285">
        <f t="shared" si="224"/>
        <v>0</v>
      </c>
      <c r="E300" s="184">
        <f t="shared" si="222"/>
        <v>0</v>
      </c>
      <c r="F300" s="285">
        <f t="shared" si="225"/>
        <v>538.3</v>
      </c>
      <c r="G300" s="184">
        <f t="shared" si="223"/>
        <v>538.3</v>
      </c>
      <c r="H300" s="285">
        <f t="shared" si="226"/>
        <v>0</v>
      </c>
      <c r="I300" s="310">
        <f t="shared" si="227"/>
        <v>18</v>
      </c>
      <c r="J300" s="310">
        <f t="shared" si="228"/>
        <v>18</v>
      </c>
      <c r="K300" s="259"/>
      <c r="L300" s="259"/>
      <c r="M300" s="259"/>
      <c r="N300" s="20"/>
      <c r="O300" s="184">
        <f t="shared" si="229"/>
        <v>538.3</v>
      </c>
      <c r="P300" s="184">
        <f t="shared" si="230"/>
        <v>0</v>
      </c>
      <c r="Q300" s="184">
        <f t="shared" si="231"/>
        <v>0</v>
      </c>
      <c r="R300" s="297"/>
      <c r="S300" s="20"/>
      <c r="T300" s="259"/>
      <c r="U300" s="259"/>
      <c r="V300" s="259"/>
      <c r="W300" s="259"/>
      <c r="X300" s="259"/>
      <c r="Y300" s="259"/>
      <c r="Z300" s="259"/>
      <c r="AA300" s="259"/>
      <c r="AB300" s="259"/>
      <c r="AC300" s="259"/>
      <c r="AD300" s="259"/>
      <c r="AE300" s="259"/>
      <c r="AF300" s="259"/>
      <c r="AG300" s="259"/>
      <c r="AH300" s="259"/>
      <c r="AI300" s="259"/>
      <c r="AJ300" s="259"/>
      <c r="AK300" s="259"/>
      <c r="AL300" s="259"/>
      <c r="AM300" s="259"/>
      <c r="AN300" s="259"/>
      <c r="AO300" s="259"/>
      <c r="AP300" s="259"/>
      <c r="AQ300" s="259"/>
      <c r="AR300" s="259"/>
      <c r="AS300" s="259"/>
      <c r="AT300" s="259"/>
      <c r="AU300" s="259"/>
      <c r="AV300" s="259"/>
      <c r="AW300" s="259"/>
    </row>
    <row r="301" spans="1:49" ht="15">
      <c r="A301" s="284" t="s">
        <v>185</v>
      </c>
      <c r="B301" s="220"/>
      <c r="C301" s="285">
        <f t="shared" si="224"/>
        <v>0</v>
      </c>
      <c r="D301" s="285">
        <f t="shared" si="224"/>
        <v>0</v>
      </c>
      <c r="E301" s="184">
        <f t="shared" si="222"/>
        <v>0</v>
      </c>
      <c r="F301" s="285">
        <f t="shared" si="225"/>
        <v>538.3</v>
      </c>
      <c r="G301" s="184">
        <f t="shared" si="223"/>
        <v>538.3</v>
      </c>
      <c r="H301" s="285">
        <f t="shared" si="226"/>
        <v>0</v>
      </c>
      <c r="I301" s="310">
        <f t="shared" si="227"/>
        <v>18</v>
      </c>
      <c r="J301" s="310">
        <f t="shared" si="228"/>
        <v>18</v>
      </c>
      <c r="K301" s="259"/>
      <c r="L301" s="259"/>
      <c r="M301" s="259"/>
      <c r="N301" s="264"/>
      <c r="O301" s="184">
        <f t="shared" si="229"/>
        <v>538.3</v>
      </c>
      <c r="P301" s="184">
        <f t="shared" si="230"/>
        <v>0</v>
      </c>
      <c r="Q301" s="184">
        <f t="shared" si="231"/>
        <v>0</v>
      </c>
      <c r="R301" s="297"/>
      <c r="S301" s="264"/>
      <c r="T301" s="259"/>
      <c r="U301" s="259"/>
      <c r="V301" s="259"/>
      <c r="W301" s="259"/>
      <c r="X301" s="259"/>
      <c r="Y301" s="259"/>
      <c r="Z301" s="259"/>
      <c r="AA301" s="259"/>
      <c r="AB301" s="259"/>
      <c r="AC301" s="259"/>
      <c r="AD301" s="259"/>
      <c r="AE301" s="259"/>
      <c r="AF301" s="259"/>
      <c r="AG301" s="259"/>
      <c r="AH301" s="259"/>
      <c r="AI301" s="259"/>
      <c r="AJ301" s="259"/>
      <c r="AK301" s="259"/>
      <c r="AL301" s="259"/>
      <c r="AM301" s="259"/>
      <c r="AN301" s="259"/>
      <c r="AO301" s="259"/>
      <c r="AP301" s="259"/>
      <c r="AQ301" s="259"/>
      <c r="AR301" s="259"/>
      <c r="AS301" s="259"/>
      <c r="AT301" s="259"/>
      <c r="AU301" s="259"/>
      <c r="AV301" s="259"/>
      <c r="AW301" s="259"/>
    </row>
    <row r="302" spans="1:49" ht="12">
      <c r="A302" s="284" t="s">
        <v>186</v>
      </c>
      <c r="B302" s="220"/>
      <c r="C302" s="285">
        <f t="shared" si="224"/>
        <v>0</v>
      </c>
      <c r="D302" s="285">
        <f t="shared" si="224"/>
        <v>0</v>
      </c>
      <c r="E302" s="184">
        <f t="shared" si="222"/>
        <v>0</v>
      </c>
      <c r="F302" s="285">
        <f t="shared" si="225"/>
        <v>538.3</v>
      </c>
      <c r="G302" s="184">
        <f t="shared" si="223"/>
        <v>538.3</v>
      </c>
      <c r="H302" s="285">
        <f t="shared" si="226"/>
        <v>0</v>
      </c>
      <c r="I302" s="310">
        <f t="shared" si="227"/>
        <v>18</v>
      </c>
      <c r="J302" s="310">
        <f t="shared" si="228"/>
        <v>18</v>
      </c>
      <c r="K302" s="259"/>
      <c r="L302" s="259"/>
      <c r="M302" s="259"/>
      <c r="N302" s="20"/>
      <c r="O302" s="184">
        <f t="shared" si="229"/>
        <v>538.3</v>
      </c>
      <c r="P302" s="184">
        <f t="shared" si="230"/>
        <v>0</v>
      </c>
      <c r="Q302" s="184">
        <f t="shared" si="231"/>
        <v>0</v>
      </c>
      <c r="R302" s="297"/>
      <c r="S302" s="20"/>
      <c r="T302" s="259"/>
      <c r="U302" s="259"/>
      <c r="V302" s="259"/>
      <c r="W302" s="259"/>
      <c r="X302" s="259"/>
      <c r="Y302" s="259"/>
      <c r="Z302" s="259"/>
      <c r="AA302" s="259"/>
      <c r="AB302" s="259"/>
      <c r="AC302" s="259"/>
      <c r="AD302" s="259"/>
      <c r="AE302" s="259"/>
      <c r="AF302" s="259"/>
      <c r="AG302" s="259"/>
      <c r="AH302" s="259"/>
      <c r="AI302" s="259"/>
      <c r="AJ302" s="259"/>
      <c r="AK302" s="259"/>
      <c r="AL302" s="259"/>
      <c r="AM302" s="259"/>
      <c r="AN302" s="259"/>
      <c r="AO302" s="259"/>
      <c r="AP302" s="259"/>
      <c r="AQ302" s="259"/>
      <c r="AR302" s="259"/>
      <c r="AS302" s="259"/>
      <c r="AT302" s="259"/>
      <c r="AU302" s="259"/>
      <c r="AV302" s="259"/>
      <c r="AW302" s="259"/>
    </row>
    <row r="303" spans="1:49" ht="15">
      <c r="A303" s="284" t="s">
        <v>187</v>
      </c>
      <c r="B303" s="220"/>
      <c r="C303" s="285">
        <f t="shared" si="224"/>
        <v>0</v>
      </c>
      <c r="D303" s="285">
        <f t="shared" si="224"/>
        <v>0</v>
      </c>
      <c r="E303" s="184">
        <f t="shared" si="222"/>
        <v>0</v>
      </c>
      <c r="F303" s="285">
        <f t="shared" si="225"/>
        <v>538.3</v>
      </c>
      <c r="G303" s="184">
        <f t="shared" si="223"/>
        <v>538.3</v>
      </c>
      <c r="H303" s="285">
        <f t="shared" si="226"/>
        <v>0</v>
      </c>
      <c r="I303" s="310">
        <f t="shared" si="227"/>
        <v>18</v>
      </c>
      <c r="J303" s="310">
        <f t="shared" si="228"/>
        <v>18</v>
      </c>
      <c r="K303" s="259"/>
      <c r="L303" s="259"/>
      <c r="M303" s="259"/>
      <c r="N303" s="264"/>
      <c r="O303" s="184">
        <f t="shared" si="229"/>
        <v>538.3</v>
      </c>
      <c r="P303" s="184">
        <f t="shared" si="230"/>
        <v>0</v>
      </c>
      <c r="Q303" s="184">
        <f t="shared" si="231"/>
        <v>0</v>
      </c>
      <c r="R303" s="297"/>
      <c r="S303" s="264"/>
      <c r="T303" s="259"/>
      <c r="U303" s="259"/>
      <c r="V303" s="259"/>
      <c r="W303" s="259"/>
      <c r="X303" s="259"/>
      <c r="Y303" s="259"/>
      <c r="Z303" s="259"/>
      <c r="AA303" s="259"/>
      <c r="AB303" s="259"/>
      <c r="AC303" s="259"/>
      <c r="AD303" s="259"/>
      <c r="AE303" s="259"/>
      <c r="AF303" s="259"/>
      <c r="AG303" s="259"/>
      <c r="AH303" s="259"/>
      <c r="AI303" s="259"/>
      <c r="AJ303" s="259"/>
      <c r="AK303" s="259"/>
      <c r="AL303" s="259"/>
      <c r="AM303" s="259"/>
      <c r="AN303" s="259"/>
      <c r="AO303" s="259"/>
      <c r="AP303" s="259"/>
      <c r="AQ303" s="259"/>
      <c r="AR303" s="259"/>
      <c r="AS303" s="259"/>
      <c r="AT303" s="259"/>
      <c r="AU303" s="259"/>
      <c r="AV303" s="259"/>
      <c r="AW303" s="259"/>
    </row>
    <row r="304" spans="1:49" ht="12">
      <c r="A304" s="284" t="s">
        <v>188</v>
      </c>
      <c r="B304" s="220"/>
      <c r="C304" s="285">
        <f t="shared" si="224"/>
        <v>0</v>
      </c>
      <c r="D304" s="285">
        <f t="shared" si="224"/>
        <v>0</v>
      </c>
      <c r="E304" s="184">
        <f t="shared" si="222"/>
        <v>0</v>
      </c>
      <c r="F304" s="285">
        <f t="shared" si="225"/>
        <v>538.3</v>
      </c>
      <c r="G304" s="184">
        <f t="shared" si="223"/>
        <v>538.3</v>
      </c>
      <c r="H304" s="285">
        <f t="shared" si="226"/>
        <v>0</v>
      </c>
      <c r="I304" s="310">
        <f t="shared" si="227"/>
        <v>18</v>
      </c>
      <c r="J304" s="310">
        <f t="shared" si="228"/>
        <v>18</v>
      </c>
      <c r="K304" s="259"/>
      <c r="L304" s="259"/>
      <c r="M304" s="259"/>
      <c r="N304" s="20"/>
      <c r="O304" s="184">
        <f t="shared" si="229"/>
        <v>538.3</v>
      </c>
      <c r="P304" s="184">
        <f t="shared" si="230"/>
        <v>0</v>
      </c>
      <c r="Q304" s="184">
        <f t="shared" si="231"/>
        <v>0</v>
      </c>
      <c r="R304" s="297"/>
      <c r="S304" s="20"/>
      <c r="T304" s="259"/>
      <c r="U304" s="259"/>
      <c r="V304" s="259"/>
      <c r="W304" s="259"/>
      <c r="X304" s="259"/>
      <c r="Y304" s="259"/>
      <c r="Z304" s="259"/>
      <c r="AA304" s="259"/>
      <c r="AB304" s="259"/>
      <c r="AC304" s="259"/>
      <c r="AD304" s="259"/>
      <c r="AE304" s="259"/>
      <c r="AF304" s="259"/>
      <c r="AG304" s="259"/>
      <c r="AH304" s="259"/>
      <c r="AI304" s="259"/>
      <c r="AJ304" s="259"/>
      <c r="AK304" s="259"/>
      <c r="AL304" s="259"/>
      <c r="AM304" s="259"/>
      <c r="AN304" s="259"/>
      <c r="AO304" s="259"/>
      <c r="AP304" s="259"/>
      <c r="AQ304" s="259"/>
      <c r="AR304" s="259"/>
      <c r="AS304" s="259"/>
      <c r="AT304" s="259"/>
      <c r="AU304" s="259"/>
      <c r="AV304" s="259"/>
      <c r="AW304" s="259"/>
    </row>
    <row r="305" spans="1:49" ht="15">
      <c r="A305" s="284" t="s">
        <v>189</v>
      </c>
      <c r="B305" s="220"/>
      <c r="C305" s="285">
        <f t="shared" si="224"/>
        <v>0</v>
      </c>
      <c r="D305" s="285">
        <f t="shared" si="224"/>
        <v>0</v>
      </c>
      <c r="E305" s="184">
        <f t="shared" si="222"/>
        <v>0</v>
      </c>
      <c r="F305" s="285">
        <v>0</v>
      </c>
      <c r="G305" s="184">
        <f t="shared" si="223"/>
        <v>0</v>
      </c>
      <c r="H305" s="285">
        <v>0</v>
      </c>
      <c r="I305" s="310">
        <f t="shared" si="227"/>
        <v>18</v>
      </c>
      <c r="J305" s="310">
        <f t="shared" si="228"/>
        <v>18</v>
      </c>
      <c r="K305" s="259"/>
      <c r="L305" s="259"/>
      <c r="M305" s="259"/>
      <c r="N305" s="264"/>
      <c r="O305" s="184">
        <f t="shared" si="229"/>
        <v>0</v>
      </c>
      <c r="P305" s="184">
        <f t="shared" si="230"/>
        <v>0</v>
      </c>
      <c r="Q305" s="184">
        <f t="shared" si="231"/>
        <v>0</v>
      </c>
      <c r="R305" s="297"/>
      <c r="S305" s="264"/>
      <c r="T305" s="259"/>
      <c r="U305" s="259"/>
      <c r="V305" s="259"/>
      <c r="W305" s="259"/>
      <c r="X305" s="259"/>
      <c r="Y305" s="259"/>
      <c r="Z305" s="259"/>
      <c r="AA305" s="259"/>
      <c r="AB305" s="259"/>
      <c r="AC305" s="259"/>
      <c r="AD305" s="259"/>
      <c r="AE305" s="259"/>
      <c r="AF305" s="259"/>
      <c r="AG305" s="259"/>
      <c r="AH305" s="259"/>
      <c r="AI305" s="259"/>
      <c r="AJ305" s="259"/>
      <c r="AK305" s="259"/>
      <c r="AL305" s="259"/>
      <c r="AM305" s="259"/>
      <c r="AN305" s="259"/>
      <c r="AO305" s="259"/>
      <c r="AP305" s="259"/>
      <c r="AQ305" s="259"/>
      <c r="AR305" s="259"/>
      <c r="AS305" s="259"/>
      <c r="AT305" s="259"/>
      <c r="AU305" s="259"/>
      <c r="AV305" s="259"/>
      <c r="AW305" s="259"/>
    </row>
    <row r="306" spans="1:49" ht="12">
      <c r="A306" s="284" t="s">
        <v>190</v>
      </c>
      <c r="B306" s="220"/>
      <c r="C306" s="285">
        <f t="shared" si="224"/>
        <v>0</v>
      </c>
      <c r="D306" s="285">
        <f t="shared" si="224"/>
        <v>0</v>
      </c>
      <c r="E306" s="184">
        <f t="shared" si="222"/>
        <v>0</v>
      </c>
      <c r="F306" s="285">
        <f>F305</f>
        <v>0</v>
      </c>
      <c r="G306" s="184">
        <f t="shared" si="223"/>
        <v>0</v>
      </c>
      <c r="H306" s="285">
        <f t="shared" si="226"/>
        <v>0</v>
      </c>
      <c r="I306" s="310">
        <f t="shared" si="227"/>
        <v>18</v>
      </c>
      <c r="J306" s="310">
        <f t="shared" si="228"/>
        <v>18</v>
      </c>
      <c r="K306" s="259"/>
      <c r="L306" s="259"/>
      <c r="M306" s="259"/>
      <c r="N306" s="20"/>
      <c r="O306" s="184">
        <f t="shared" si="229"/>
        <v>0</v>
      </c>
      <c r="P306" s="184">
        <f t="shared" si="230"/>
        <v>0</v>
      </c>
      <c r="Q306" s="184">
        <f t="shared" si="231"/>
        <v>0</v>
      </c>
      <c r="R306" s="297"/>
      <c r="S306" s="20"/>
      <c r="T306" s="259"/>
      <c r="U306" s="259"/>
      <c r="V306" s="259"/>
      <c r="W306" s="259"/>
      <c r="X306" s="259"/>
      <c r="Y306" s="259"/>
      <c r="Z306" s="259"/>
      <c r="AA306" s="259"/>
      <c r="AB306" s="259"/>
      <c r="AC306" s="259"/>
      <c r="AD306" s="259"/>
      <c r="AE306" s="259"/>
      <c r="AF306" s="259"/>
      <c r="AG306" s="259"/>
      <c r="AH306" s="259"/>
      <c r="AI306" s="259"/>
      <c r="AJ306" s="259"/>
      <c r="AK306" s="259"/>
      <c r="AL306" s="259"/>
      <c r="AM306" s="259"/>
      <c r="AN306" s="259"/>
      <c r="AO306" s="259"/>
      <c r="AP306" s="259"/>
      <c r="AQ306" s="259"/>
      <c r="AR306" s="259"/>
      <c r="AS306" s="259"/>
      <c r="AT306" s="259"/>
      <c r="AU306" s="259"/>
      <c r="AV306" s="259"/>
      <c r="AW306" s="259"/>
    </row>
    <row r="307" spans="1:49" ht="15">
      <c r="A307" s="284" t="s">
        <v>191</v>
      </c>
      <c r="B307" s="220"/>
      <c r="C307" s="285">
        <f t="shared" si="224"/>
        <v>0</v>
      </c>
      <c r="D307" s="285">
        <f t="shared" si="224"/>
        <v>0</v>
      </c>
      <c r="E307" s="184">
        <f t="shared" si="222"/>
        <v>0</v>
      </c>
      <c r="F307" s="285">
        <f>F306</f>
        <v>0</v>
      </c>
      <c r="G307" s="184">
        <f t="shared" si="223"/>
        <v>0</v>
      </c>
      <c r="H307" s="285">
        <f t="shared" si="226"/>
        <v>0</v>
      </c>
      <c r="I307" s="310">
        <f t="shared" si="227"/>
        <v>18</v>
      </c>
      <c r="J307" s="310">
        <f t="shared" si="228"/>
        <v>18</v>
      </c>
      <c r="K307" s="259"/>
      <c r="L307" s="259"/>
      <c r="M307" s="259"/>
      <c r="N307" s="264"/>
      <c r="O307" s="184">
        <f t="shared" si="229"/>
        <v>0</v>
      </c>
      <c r="P307" s="184">
        <f t="shared" si="230"/>
        <v>0</v>
      </c>
      <c r="Q307" s="184">
        <f t="shared" si="231"/>
        <v>0</v>
      </c>
      <c r="R307" s="297"/>
      <c r="S307" s="264"/>
      <c r="T307" s="259"/>
      <c r="U307" s="259"/>
      <c r="V307" s="259"/>
      <c r="W307" s="259"/>
      <c r="X307" s="259"/>
      <c r="Y307" s="259"/>
      <c r="Z307" s="259"/>
      <c r="AA307" s="259"/>
      <c r="AB307" s="259"/>
      <c r="AC307" s="259"/>
      <c r="AD307" s="259"/>
      <c r="AE307" s="259"/>
      <c r="AF307" s="259"/>
      <c r="AG307" s="259"/>
      <c r="AH307" s="259"/>
      <c r="AI307" s="259"/>
      <c r="AJ307" s="259"/>
      <c r="AK307" s="259"/>
      <c r="AL307" s="259"/>
      <c r="AM307" s="259"/>
      <c r="AN307" s="259"/>
      <c r="AO307" s="259"/>
      <c r="AP307" s="259"/>
      <c r="AQ307" s="259"/>
      <c r="AR307" s="259"/>
      <c r="AS307" s="259"/>
      <c r="AT307" s="259"/>
      <c r="AU307" s="259"/>
      <c r="AV307" s="259"/>
      <c r="AW307" s="259"/>
    </row>
    <row r="308" spans="1:49" ht="12">
      <c r="A308" s="284" t="s">
        <v>192</v>
      </c>
      <c r="B308" s="220"/>
      <c r="C308" s="285">
        <f t="shared" si="224"/>
        <v>0</v>
      </c>
      <c r="D308" s="285">
        <f t="shared" si="224"/>
        <v>0</v>
      </c>
      <c r="E308" s="184">
        <f t="shared" si="222"/>
        <v>0</v>
      </c>
      <c r="F308" s="285">
        <f>F307</f>
        <v>0</v>
      </c>
      <c r="G308" s="184">
        <f t="shared" si="223"/>
        <v>0</v>
      </c>
      <c r="H308" s="285">
        <f t="shared" si="226"/>
        <v>0</v>
      </c>
      <c r="I308" s="310">
        <f t="shared" si="227"/>
        <v>18</v>
      </c>
      <c r="J308" s="310">
        <f t="shared" si="228"/>
        <v>18</v>
      </c>
      <c r="K308" s="259"/>
      <c r="L308" s="259"/>
      <c r="M308" s="259"/>
      <c r="N308" s="20"/>
      <c r="O308" s="184">
        <f t="shared" si="229"/>
        <v>0</v>
      </c>
      <c r="P308" s="184">
        <f t="shared" si="230"/>
        <v>0</v>
      </c>
      <c r="Q308" s="184">
        <f t="shared" si="231"/>
        <v>0</v>
      </c>
      <c r="R308" s="297"/>
      <c r="S308" s="20"/>
      <c r="T308" s="259"/>
      <c r="U308" s="259"/>
      <c r="V308" s="259"/>
      <c r="W308" s="259"/>
      <c r="X308" s="259"/>
      <c r="Y308" s="259"/>
      <c r="Z308" s="259"/>
      <c r="AA308" s="259"/>
      <c r="AB308" s="259"/>
      <c r="AC308" s="259"/>
      <c r="AD308" s="259"/>
      <c r="AE308" s="259"/>
      <c r="AF308" s="259"/>
      <c r="AG308" s="259"/>
      <c r="AH308" s="259"/>
      <c r="AI308" s="259"/>
      <c r="AJ308" s="259"/>
      <c r="AK308" s="259"/>
      <c r="AL308" s="259"/>
      <c r="AM308" s="259"/>
      <c r="AN308" s="259"/>
      <c r="AO308" s="259"/>
      <c r="AP308" s="259"/>
      <c r="AQ308" s="259"/>
      <c r="AR308" s="259"/>
      <c r="AS308" s="259"/>
      <c r="AT308" s="259"/>
      <c r="AU308" s="259"/>
      <c r="AV308" s="259"/>
      <c r="AW308" s="259"/>
    </row>
    <row r="309" spans="1:49" ht="15">
      <c r="A309" s="282">
        <f>A296+1</f>
        <v>2016</v>
      </c>
      <c r="B309" s="28"/>
      <c r="C309" s="28"/>
      <c r="D309" s="28"/>
      <c r="E309" s="306">
        <f>SUM(E310:E321)</f>
        <v>0</v>
      </c>
      <c r="F309" s="287"/>
      <c r="G309" s="283">
        <f>SUM(G310:G321)</f>
        <v>0</v>
      </c>
      <c r="H309" s="309">
        <f>SUM(H310:H321)</f>
        <v>0</v>
      </c>
      <c r="I309" s="311">
        <f>SUM(I310:I321)</f>
        <v>216</v>
      </c>
      <c r="J309" s="311">
        <f>SUM(J310:J321)</f>
        <v>216</v>
      </c>
      <c r="K309" s="259"/>
      <c r="L309" s="259"/>
      <c r="M309" s="259"/>
      <c r="N309" s="264"/>
      <c r="O309" s="136">
        <f>SUM(O310:O321)</f>
        <v>0</v>
      </c>
      <c r="P309" s="136">
        <f>SUM(P310:P321)</f>
        <v>0</v>
      </c>
      <c r="Q309" s="136">
        <f>SUM(Q310:Q321)</f>
        <v>0</v>
      </c>
      <c r="R309" s="296">
        <f>IF($A$1=A309,(J309/I309)/12*8,J309/I309)</f>
        <v>1</v>
      </c>
      <c r="S309" s="264"/>
      <c r="T309" s="259"/>
      <c r="U309" s="259"/>
      <c r="V309" s="259"/>
      <c r="W309" s="259"/>
      <c r="X309" s="259"/>
      <c r="Y309" s="259"/>
      <c r="Z309" s="259"/>
      <c r="AA309" s="259"/>
      <c r="AB309" s="259"/>
      <c r="AC309" s="259"/>
      <c r="AD309" s="259"/>
      <c r="AE309" s="259"/>
      <c r="AF309" s="259"/>
      <c r="AG309" s="259"/>
      <c r="AH309" s="259"/>
      <c r="AI309" s="259"/>
      <c r="AJ309" s="259"/>
      <c r="AK309" s="259"/>
      <c r="AL309" s="259"/>
      <c r="AM309" s="259"/>
      <c r="AN309" s="259"/>
      <c r="AO309" s="259"/>
      <c r="AP309" s="259"/>
      <c r="AQ309" s="259"/>
      <c r="AR309" s="259"/>
      <c r="AS309" s="259"/>
      <c r="AT309" s="259"/>
      <c r="AU309" s="259"/>
      <c r="AV309" s="259"/>
      <c r="AW309" s="259"/>
    </row>
    <row r="310" spans="1:49" ht="12">
      <c r="A310" s="284" t="s">
        <v>181</v>
      </c>
      <c r="B310" s="220"/>
      <c r="C310" s="285">
        <f>C308</f>
        <v>0</v>
      </c>
      <c r="D310" s="285">
        <f>D308</f>
        <v>0</v>
      </c>
      <c r="E310" s="184">
        <f aca="true" t="shared" si="232" ref="E310:E321">C310+D310</f>
        <v>0</v>
      </c>
      <c r="F310" s="285">
        <f>F308</f>
        <v>0</v>
      </c>
      <c r="G310" s="184">
        <f aca="true" t="shared" si="233" ref="G310:G321">SUM(E310:F310)</f>
        <v>0</v>
      </c>
      <c r="H310" s="285">
        <f>H308</f>
        <v>0</v>
      </c>
      <c r="I310" s="310">
        <f>I308</f>
        <v>18</v>
      </c>
      <c r="J310" s="310">
        <f>J308</f>
        <v>18</v>
      </c>
      <c r="K310" s="259"/>
      <c r="L310" s="259"/>
      <c r="M310" s="259"/>
      <c r="N310" s="20"/>
      <c r="O310" s="184">
        <f>G310/I310*J310</f>
        <v>0</v>
      </c>
      <c r="P310" s="184">
        <f>E310*0.18/I310*J310</f>
        <v>0</v>
      </c>
      <c r="Q310" s="184">
        <f>H310/I310*J310</f>
        <v>0</v>
      </c>
      <c r="R310" s="297"/>
      <c r="S310" s="20"/>
      <c r="T310" s="259"/>
      <c r="U310" s="259"/>
      <c r="V310" s="259"/>
      <c r="W310" s="259"/>
      <c r="X310" s="259"/>
      <c r="Y310" s="259"/>
      <c r="Z310" s="259"/>
      <c r="AA310" s="259"/>
      <c r="AB310" s="259"/>
      <c r="AC310" s="259"/>
      <c r="AD310" s="259"/>
      <c r="AE310" s="259"/>
      <c r="AF310" s="259"/>
      <c r="AG310" s="259"/>
      <c r="AH310" s="259"/>
      <c r="AI310" s="259"/>
      <c r="AJ310" s="259"/>
      <c r="AK310" s="259"/>
      <c r="AL310" s="259"/>
      <c r="AM310" s="259"/>
      <c r="AN310" s="259"/>
      <c r="AO310" s="259"/>
      <c r="AP310" s="259"/>
      <c r="AQ310" s="259"/>
      <c r="AR310" s="259"/>
      <c r="AS310" s="259"/>
      <c r="AT310" s="259"/>
      <c r="AU310" s="259"/>
      <c r="AV310" s="259"/>
      <c r="AW310" s="259"/>
    </row>
    <row r="311" spans="1:49" ht="15">
      <c r="A311" s="284" t="s">
        <v>182</v>
      </c>
      <c r="B311" s="220"/>
      <c r="C311" s="285">
        <f aca="true" t="shared" si="234" ref="C311:D321">C310</f>
        <v>0</v>
      </c>
      <c r="D311" s="285">
        <f t="shared" si="234"/>
        <v>0</v>
      </c>
      <c r="E311" s="184">
        <f t="shared" si="232"/>
        <v>0</v>
      </c>
      <c r="F311" s="285">
        <f aca="true" t="shared" si="235" ref="F311:F318">F310</f>
        <v>0</v>
      </c>
      <c r="G311" s="184">
        <f t="shared" si="233"/>
        <v>0</v>
      </c>
      <c r="H311" s="285">
        <f aca="true" t="shared" si="236" ref="H311:H321">H310</f>
        <v>0</v>
      </c>
      <c r="I311" s="310">
        <f aca="true" t="shared" si="237" ref="I311:I321">I310</f>
        <v>18</v>
      </c>
      <c r="J311" s="310">
        <f aca="true" t="shared" si="238" ref="J311:J321">J310</f>
        <v>18</v>
      </c>
      <c r="K311" s="259"/>
      <c r="L311" s="259"/>
      <c r="M311" s="259"/>
      <c r="N311" s="264"/>
      <c r="O311" s="184">
        <f aca="true" t="shared" si="239" ref="O311:O321">G311/I311*J311</f>
        <v>0</v>
      </c>
      <c r="P311" s="184">
        <f aca="true" t="shared" si="240" ref="P311:P321">E311*0.18/I311*J311</f>
        <v>0</v>
      </c>
      <c r="Q311" s="184">
        <f aca="true" t="shared" si="241" ref="Q311:Q321">H311/I311*J311</f>
        <v>0</v>
      </c>
      <c r="R311" s="297"/>
      <c r="S311" s="264"/>
      <c r="T311" s="259"/>
      <c r="U311" s="259"/>
      <c r="V311" s="259"/>
      <c r="W311" s="259"/>
      <c r="X311" s="259"/>
      <c r="Y311" s="259"/>
      <c r="Z311" s="259"/>
      <c r="AA311" s="259"/>
      <c r="AB311" s="259"/>
      <c r="AC311" s="259"/>
      <c r="AD311" s="259"/>
      <c r="AE311" s="259"/>
      <c r="AF311" s="259"/>
      <c r="AG311" s="259"/>
      <c r="AH311" s="259"/>
      <c r="AI311" s="259"/>
      <c r="AJ311" s="259"/>
      <c r="AK311" s="259"/>
      <c r="AL311" s="259"/>
      <c r="AM311" s="259"/>
      <c r="AN311" s="259"/>
      <c r="AO311" s="259"/>
      <c r="AP311" s="259"/>
      <c r="AQ311" s="259"/>
      <c r="AR311" s="259"/>
      <c r="AS311" s="259"/>
      <c r="AT311" s="259"/>
      <c r="AU311" s="259"/>
      <c r="AV311" s="259"/>
      <c r="AW311" s="259"/>
    </row>
    <row r="312" spans="1:49" ht="12">
      <c r="A312" s="284" t="s">
        <v>183</v>
      </c>
      <c r="B312" s="220"/>
      <c r="C312" s="285">
        <f t="shared" si="234"/>
        <v>0</v>
      </c>
      <c r="D312" s="285">
        <f t="shared" si="234"/>
        <v>0</v>
      </c>
      <c r="E312" s="184">
        <f t="shared" si="232"/>
        <v>0</v>
      </c>
      <c r="F312" s="285">
        <f t="shared" si="235"/>
        <v>0</v>
      </c>
      <c r="G312" s="184">
        <f t="shared" si="233"/>
        <v>0</v>
      </c>
      <c r="H312" s="285">
        <f t="shared" si="236"/>
        <v>0</v>
      </c>
      <c r="I312" s="310">
        <f t="shared" si="237"/>
        <v>18</v>
      </c>
      <c r="J312" s="310">
        <f t="shared" si="238"/>
        <v>18</v>
      </c>
      <c r="K312" s="259"/>
      <c r="L312" s="259"/>
      <c r="M312" s="259"/>
      <c r="N312" s="20"/>
      <c r="O312" s="184">
        <f t="shared" si="239"/>
        <v>0</v>
      </c>
      <c r="P312" s="184">
        <f t="shared" si="240"/>
        <v>0</v>
      </c>
      <c r="Q312" s="184">
        <f t="shared" si="241"/>
        <v>0</v>
      </c>
      <c r="R312" s="297"/>
      <c r="S312" s="20"/>
      <c r="T312" s="259"/>
      <c r="U312" s="259"/>
      <c r="V312" s="259"/>
      <c r="W312" s="259"/>
      <c r="X312" s="259"/>
      <c r="Y312" s="259"/>
      <c r="Z312" s="259"/>
      <c r="AA312" s="259"/>
      <c r="AB312" s="259"/>
      <c r="AC312" s="259"/>
      <c r="AD312" s="259"/>
      <c r="AE312" s="259"/>
      <c r="AF312" s="259"/>
      <c r="AG312" s="259"/>
      <c r="AH312" s="259"/>
      <c r="AI312" s="259"/>
      <c r="AJ312" s="259"/>
      <c r="AK312" s="259"/>
      <c r="AL312" s="259"/>
      <c r="AM312" s="259"/>
      <c r="AN312" s="259"/>
      <c r="AO312" s="259"/>
      <c r="AP312" s="259"/>
      <c r="AQ312" s="259"/>
      <c r="AR312" s="259"/>
      <c r="AS312" s="259"/>
      <c r="AT312" s="259"/>
      <c r="AU312" s="259"/>
      <c r="AV312" s="259"/>
      <c r="AW312" s="259"/>
    </row>
    <row r="313" spans="1:49" ht="15">
      <c r="A313" s="284" t="s">
        <v>184</v>
      </c>
      <c r="B313" s="220"/>
      <c r="C313" s="285">
        <f t="shared" si="234"/>
        <v>0</v>
      </c>
      <c r="D313" s="285">
        <f t="shared" si="234"/>
        <v>0</v>
      </c>
      <c r="E313" s="184">
        <f t="shared" si="232"/>
        <v>0</v>
      </c>
      <c r="F313" s="285">
        <f t="shared" si="235"/>
        <v>0</v>
      </c>
      <c r="G313" s="184">
        <f t="shared" si="233"/>
        <v>0</v>
      </c>
      <c r="H313" s="285">
        <f t="shared" si="236"/>
        <v>0</v>
      </c>
      <c r="I313" s="310">
        <f t="shared" si="237"/>
        <v>18</v>
      </c>
      <c r="J313" s="310">
        <f t="shared" si="238"/>
        <v>18</v>
      </c>
      <c r="K313" s="259"/>
      <c r="L313" s="259"/>
      <c r="M313" s="259"/>
      <c r="N313" s="264"/>
      <c r="O313" s="184">
        <f t="shared" si="239"/>
        <v>0</v>
      </c>
      <c r="P313" s="184">
        <f t="shared" si="240"/>
        <v>0</v>
      </c>
      <c r="Q313" s="184">
        <f t="shared" si="241"/>
        <v>0</v>
      </c>
      <c r="R313" s="297"/>
      <c r="S313" s="264"/>
      <c r="T313" s="259"/>
      <c r="U313" s="259"/>
      <c r="V313" s="259"/>
      <c r="W313" s="259"/>
      <c r="X313" s="259"/>
      <c r="Y313" s="259"/>
      <c r="Z313" s="259"/>
      <c r="AA313" s="259"/>
      <c r="AB313" s="259"/>
      <c r="AC313" s="259"/>
      <c r="AD313" s="259"/>
      <c r="AE313" s="259"/>
      <c r="AF313" s="259"/>
      <c r="AG313" s="259"/>
      <c r="AH313" s="259"/>
      <c r="AI313" s="259"/>
      <c r="AJ313" s="259"/>
      <c r="AK313" s="259"/>
      <c r="AL313" s="259"/>
      <c r="AM313" s="259"/>
      <c r="AN313" s="259"/>
      <c r="AO313" s="259"/>
      <c r="AP313" s="259"/>
      <c r="AQ313" s="259"/>
      <c r="AR313" s="259"/>
      <c r="AS313" s="259"/>
      <c r="AT313" s="259"/>
      <c r="AU313" s="259"/>
      <c r="AV313" s="259"/>
      <c r="AW313" s="259"/>
    </row>
    <row r="314" spans="1:49" ht="12">
      <c r="A314" s="284" t="s">
        <v>185</v>
      </c>
      <c r="B314" s="220"/>
      <c r="C314" s="285">
        <f t="shared" si="234"/>
        <v>0</v>
      </c>
      <c r="D314" s="285">
        <f t="shared" si="234"/>
        <v>0</v>
      </c>
      <c r="E314" s="184">
        <f t="shared" si="232"/>
        <v>0</v>
      </c>
      <c r="F314" s="285">
        <f t="shared" si="235"/>
        <v>0</v>
      </c>
      <c r="G314" s="184">
        <f t="shared" si="233"/>
        <v>0</v>
      </c>
      <c r="H314" s="285">
        <f t="shared" si="236"/>
        <v>0</v>
      </c>
      <c r="I314" s="310">
        <f t="shared" si="237"/>
        <v>18</v>
      </c>
      <c r="J314" s="310">
        <f t="shared" si="238"/>
        <v>18</v>
      </c>
      <c r="K314" s="259"/>
      <c r="L314" s="259"/>
      <c r="M314" s="259"/>
      <c r="N314" s="20"/>
      <c r="O314" s="184">
        <f t="shared" si="239"/>
        <v>0</v>
      </c>
      <c r="P314" s="184">
        <f t="shared" si="240"/>
        <v>0</v>
      </c>
      <c r="Q314" s="184">
        <f t="shared" si="241"/>
        <v>0</v>
      </c>
      <c r="R314" s="297"/>
      <c r="S314" s="20"/>
      <c r="T314" s="259"/>
      <c r="U314" s="259"/>
      <c r="V314" s="259"/>
      <c r="W314" s="259"/>
      <c r="X314" s="259"/>
      <c r="Y314" s="259"/>
      <c r="Z314" s="259"/>
      <c r="AA314" s="259"/>
      <c r="AB314" s="259"/>
      <c r="AC314" s="259"/>
      <c r="AD314" s="259"/>
      <c r="AE314" s="259"/>
      <c r="AF314" s="259"/>
      <c r="AG314" s="259"/>
      <c r="AH314" s="259"/>
      <c r="AI314" s="259"/>
      <c r="AJ314" s="259"/>
      <c r="AK314" s="259"/>
      <c r="AL314" s="259"/>
      <c r="AM314" s="259"/>
      <c r="AN314" s="259"/>
      <c r="AO314" s="259"/>
      <c r="AP314" s="259"/>
      <c r="AQ314" s="259"/>
      <c r="AR314" s="259"/>
      <c r="AS314" s="259"/>
      <c r="AT314" s="259"/>
      <c r="AU314" s="259"/>
      <c r="AV314" s="259"/>
      <c r="AW314" s="259"/>
    </row>
    <row r="315" spans="1:49" ht="15">
      <c r="A315" s="284" t="s">
        <v>186</v>
      </c>
      <c r="B315" s="220"/>
      <c r="C315" s="285">
        <f t="shared" si="234"/>
        <v>0</v>
      </c>
      <c r="D315" s="285">
        <f t="shared" si="234"/>
        <v>0</v>
      </c>
      <c r="E315" s="184">
        <f t="shared" si="232"/>
        <v>0</v>
      </c>
      <c r="F315" s="285">
        <f t="shared" si="235"/>
        <v>0</v>
      </c>
      <c r="G315" s="184">
        <f t="shared" si="233"/>
        <v>0</v>
      </c>
      <c r="H315" s="285">
        <f t="shared" si="236"/>
        <v>0</v>
      </c>
      <c r="I315" s="310">
        <f t="shared" si="237"/>
        <v>18</v>
      </c>
      <c r="J315" s="310">
        <f t="shared" si="238"/>
        <v>18</v>
      </c>
      <c r="K315" s="259"/>
      <c r="L315" s="259"/>
      <c r="M315" s="259"/>
      <c r="N315" s="264"/>
      <c r="O315" s="184">
        <f t="shared" si="239"/>
        <v>0</v>
      </c>
      <c r="P315" s="184">
        <f t="shared" si="240"/>
        <v>0</v>
      </c>
      <c r="Q315" s="184">
        <f t="shared" si="241"/>
        <v>0</v>
      </c>
      <c r="R315" s="297"/>
      <c r="S315" s="264"/>
      <c r="T315" s="259"/>
      <c r="U315" s="259"/>
      <c r="V315" s="259"/>
      <c r="W315" s="259"/>
      <c r="X315" s="259"/>
      <c r="Y315" s="259"/>
      <c r="Z315" s="259"/>
      <c r="AA315" s="259"/>
      <c r="AB315" s="259"/>
      <c r="AC315" s="259"/>
      <c r="AD315" s="259"/>
      <c r="AE315" s="259"/>
      <c r="AF315" s="259"/>
      <c r="AG315" s="259"/>
      <c r="AH315" s="259"/>
      <c r="AI315" s="259"/>
      <c r="AJ315" s="259"/>
      <c r="AK315" s="259"/>
      <c r="AL315" s="259"/>
      <c r="AM315" s="259"/>
      <c r="AN315" s="259"/>
      <c r="AO315" s="259"/>
      <c r="AP315" s="259"/>
      <c r="AQ315" s="259"/>
      <c r="AR315" s="259"/>
      <c r="AS315" s="259"/>
      <c r="AT315" s="259"/>
      <c r="AU315" s="259"/>
      <c r="AV315" s="259"/>
      <c r="AW315" s="259"/>
    </row>
    <row r="316" spans="1:49" ht="12">
      <c r="A316" s="284" t="s">
        <v>187</v>
      </c>
      <c r="B316" s="220"/>
      <c r="C316" s="285">
        <f t="shared" si="234"/>
        <v>0</v>
      </c>
      <c r="D316" s="285">
        <f t="shared" si="234"/>
        <v>0</v>
      </c>
      <c r="E316" s="184">
        <f t="shared" si="232"/>
        <v>0</v>
      </c>
      <c r="F316" s="285">
        <f t="shared" si="235"/>
        <v>0</v>
      </c>
      <c r="G316" s="184">
        <f t="shared" si="233"/>
        <v>0</v>
      </c>
      <c r="H316" s="285">
        <f t="shared" si="236"/>
        <v>0</v>
      </c>
      <c r="I316" s="310">
        <f t="shared" si="237"/>
        <v>18</v>
      </c>
      <c r="J316" s="310">
        <f t="shared" si="238"/>
        <v>18</v>
      </c>
      <c r="K316" s="259"/>
      <c r="L316" s="259"/>
      <c r="M316" s="259"/>
      <c r="N316" s="20"/>
      <c r="O316" s="184">
        <f t="shared" si="239"/>
        <v>0</v>
      </c>
      <c r="P316" s="184">
        <f t="shared" si="240"/>
        <v>0</v>
      </c>
      <c r="Q316" s="184">
        <f t="shared" si="241"/>
        <v>0</v>
      </c>
      <c r="R316" s="297"/>
      <c r="S316" s="20"/>
      <c r="T316" s="259"/>
      <c r="U316" s="259"/>
      <c r="V316" s="259"/>
      <c r="W316" s="259"/>
      <c r="X316" s="259"/>
      <c r="Y316" s="259"/>
      <c r="Z316" s="259"/>
      <c r="AA316" s="259"/>
      <c r="AB316" s="259"/>
      <c r="AC316" s="259"/>
      <c r="AD316" s="259"/>
      <c r="AE316" s="259"/>
      <c r="AF316" s="259"/>
      <c r="AG316" s="259"/>
      <c r="AH316" s="259"/>
      <c r="AI316" s="259"/>
      <c r="AJ316" s="259"/>
      <c r="AK316" s="259"/>
      <c r="AL316" s="259"/>
      <c r="AM316" s="259"/>
      <c r="AN316" s="259"/>
      <c r="AO316" s="259"/>
      <c r="AP316" s="259"/>
      <c r="AQ316" s="259"/>
      <c r="AR316" s="259"/>
      <c r="AS316" s="259"/>
      <c r="AT316" s="259"/>
      <c r="AU316" s="259"/>
      <c r="AV316" s="259"/>
      <c r="AW316" s="259"/>
    </row>
    <row r="317" spans="1:49" ht="15">
      <c r="A317" s="284" t="s">
        <v>188</v>
      </c>
      <c r="B317" s="220"/>
      <c r="C317" s="285">
        <f t="shared" si="234"/>
        <v>0</v>
      </c>
      <c r="D317" s="285">
        <f t="shared" si="234"/>
        <v>0</v>
      </c>
      <c r="E317" s="184">
        <f t="shared" si="232"/>
        <v>0</v>
      </c>
      <c r="F317" s="285">
        <f t="shared" si="235"/>
        <v>0</v>
      </c>
      <c r="G317" s="184">
        <f t="shared" si="233"/>
        <v>0</v>
      </c>
      <c r="H317" s="285">
        <f t="shared" si="236"/>
        <v>0</v>
      </c>
      <c r="I317" s="310">
        <f t="shared" si="237"/>
        <v>18</v>
      </c>
      <c r="J317" s="310">
        <f t="shared" si="238"/>
        <v>18</v>
      </c>
      <c r="K317" s="259"/>
      <c r="L317" s="259"/>
      <c r="M317" s="259"/>
      <c r="N317" s="264"/>
      <c r="O317" s="184">
        <f t="shared" si="239"/>
        <v>0</v>
      </c>
      <c r="P317" s="184">
        <f t="shared" si="240"/>
        <v>0</v>
      </c>
      <c r="Q317" s="184">
        <f t="shared" si="241"/>
        <v>0</v>
      </c>
      <c r="R317" s="297"/>
      <c r="S317" s="264"/>
      <c r="T317" s="259"/>
      <c r="U317" s="259"/>
      <c r="V317" s="259"/>
      <c r="W317" s="259"/>
      <c r="X317" s="259"/>
      <c r="Y317" s="259"/>
      <c r="Z317" s="259"/>
      <c r="AA317" s="259"/>
      <c r="AB317" s="259"/>
      <c r="AC317" s="259"/>
      <c r="AD317" s="259"/>
      <c r="AE317" s="259"/>
      <c r="AF317" s="259"/>
      <c r="AG317" s="259"/>
      <c r="AH317" s="259"/>
      <c r="AI317" s="259"/>
      <c r="AJ317" s="259"/>
      <c r="AK317" s="259"/>
      <c r="AL317" s="259"/>
      <c r="AM317" s="259"/>
      <c r="AN317" s="259"/>
      <c r="AO317" s="259"/>
      <c r="AP317" s="259"/>
      <c r="AQ317" s="259"/>
      <c r="AR317" s="259"/>
      <c r="AS317" s="259"/>
      <c r="AT317" s="259"/>
      <c r="AU317" s="259"/>
      <c r="AV317" s="259"/>
      <c r="AW317" s="259"/>
    </row>
    <row r="318" spans="1:49" ht="12">
      <c r="A318" s="284" t="s">
        <v>189</v>
      </c>
      <c r="B318" s="220"/>
      <c r="C318" s="285">
        <f t="shared" si="234"/>
        <v>0</v>
      </c>
      <c r="D318" s="285">
        <f t="shared" si="234"/>
        <v>0</v>
      </c>
      <c r="E318" s="184">
        <f t="shared" si="232"/>
        <v>0</v>
      </c>
      <c r="F318" s="285">
        <f t="shared" si="235"/>
        <v>0</v>
      </c>
      <c r="G318" s="184">
        <f t="shared" si="233"/>
        <v>0</v>
      </c>
      <c r="H318" s="285">
        <f t="shared" si="236"/>
        <v>0</v>
      </c>
      <c r="I318" s="310">
        <f t="shared" si="237"/>
        <v>18</v>
      </c>
      <c r="J318" s="310">
        <f t="shared" si="238"/>
        <v>18</v>
      </c>
      <c r="K318" s="259"/>
      <c r="L318" s="259"/>
      <c r="M318" s="259"/>
      <c r="N318" s="20"/>
      <c r="O318" s="184">
        <f t="shared" si="239"/>
        <v>0</v>
      </c>
      <c r="P318" s="184">
        <f t="shared" si="240"/>
        <v>0</v>
      </c>
      <c r="Q318" s="184">
        <f t="shared" si="241"/>
        <v>0</v>
      </c>
      <c r="R318" s="297"/>
      <c r="S318" s="20"/>
      <c r="T318" s="259"/>
      <c r="U318" s="259"/>
      <c r="V318" s="259"/>
      <c r="W318" s="259"/>
      <c r="X318" s="259"/>
      <c r="Y318" s="259"/>
      <c r="Z318" s="259"/>
      <c r="AA318" s="259"/>
      <c r="AB318" s="259"/>
      <c r="AC318" s="259"/>
      <c r="AD318" s="259"/>
      <c r="AE318" s="259"/>
      <c r="AF318" s="259"/>
      <c r="AG318" s="259"/>
      <c r="AH318" s="259"/>
      <c r="AI318" s="259"/>
      <c r="AJ318" s="259"/>
      <c r="AK318" s="259"/>
      <c r="AL318" s="259"/>
      <c r="AM318" s="259"/>
      <c r="AN318" s="259"/>
      <c r="AO318" s="259"/>
      <c r="AP318" s="259"/>
      <c r="AQ318" s="259"/>
      <c r="AR318" s="259"/>
      <c r="AS318" s="259"/>
      <c r="AT318" s="259"/>
      <c r="AU318" s="259"/>
      <c r="AV318" s="259"/>
      <c r="AW318" s="259"/>
    </row>
    <row r="319" spans="1:49" ht="15">
      <c r="A319" s="284" t="s">
        <v>190</v>
      </c>
      <c r="B319" s="220"/>
      <c r="C319" s="285">
        <f t="shared" si="234"/>
        <v>0</v>
      </c>
      <c r="D319" s="285">
        <f t="shared" si="234"/>
        <v>0</v>
      </c>
      <c r="E319" s="184">
        <f t="shared" si="232"/>
        <v>0</v>
      </c>
      <c r="F319" s="285">
        <f>F318</f>
        <v>0</v>
      </c>
      <c r="G319" s="184">
        <f t="shared" si="233"/>
        <v>0</v>
      </c>
      <c r="H319" s="285">
        <f t="shared" si="236"/>
        <v>0</v>
      </c>
      <c r="I319" s="310">
        <f t="shared" si="237"/>
        <v>18</v>
      </c>
      <c r="J319" s="310">
        <f t="shared" si="238"/>
        <v>18</v>
      </c>
      <c r="K319" s="259"/>
      <c r="L319" s="259"/>
      <c r="M319" s="259"/>
      <c r="N319" s="264"/>
      <c r="O319" s="184">
        <f t="shared" si="239"/>
        <v>0</v>
      </c>
      <c r="P319" s="184">
        <f t="shared" si="240"/>
        <v>0</v>
      </c>
      <c r="Q319" s="184">
        <f t="shared" si="241"/>
        <v>0</v>
      </c>
      <c r="R319" s="297"/>
      <c r="S319" s="264"/>
      <c r="T319" s="259"/>
      <c r="U319" s="259"/>
      <c r="V319" s="259"/>
      <c r="W319" s="259"/>
      <c r="X319" s="259"/>
      <c r="Y319" s="259"/>
      <c r="Z319" s="259"/>
      <c r="AA319" s="259"/>
      <c r="AB319" s="259"/>
      <c r="AC319" s="259"/>
      <c r="AD319" s="259"/>
      <c r="AE319" s="259"/>
      <c r="AF319" s="259"/>
      <c r="AG319" s="259"/>
      <c r="AH319" s="259"/>
      <c r="AI319" s="259"/>
      <c r="AJ319" s="259"/>
      <c r="AK319" s="259"/>
      <c r="AL319" s="259"/>
      <c r="AM319" s="259"/>
      <c r="AN319" s="259"/>
      <c r="AO319" s="259"/>
      <c r="AP319" s="259"/>
      <c r="AQ319" s="259"/>
      <c r="AR319" s="259"/>
      <c r="AS319" s="259"/>
      <c r="AT319" s="259"/>
      <c r="AU319" s="259"/>
      <c r="AV319" s="259"/>
      <c r="AW319" s="259"/>
    </row>
    <row r="320" spans="1:49" ht="12">
      <c r="A320" s="284" t="s">
        <v>191</v>
      </c>
      <c r="B320" s="220"/>
      <c r="C320" s="285">
        <f t="shared" si="234"/>
        <v>0</v>
      </c>
      <c r="D320" s="285">
        <f t="shared" si="234"/>
        <v>0</v>
      </c>
      <c r="E320" s="184">
        <f t="shared" si="232"/>
        <v>0</v>
      </c>
      <c r="F320" s="285">
        <f>F319</f>
        <v>0</v>
      </c>
      <c r="G320" s="184">
        <f t="shared" si="233"/>
        <v>0</v>
      </c>
      <c r="H320" s="285">
        <f t="shared" si="236"/>
        <v>0</v>
      </c>
      <c r="I320" s="310">
        <f t="shared" si="237"/>
        <v>18</v>
      </c>
      <c r="J320" s="310">
        <f t="shared" si="238"/>
        <v>18</v>
      </c>
      <c r="K320" s="259"/>
      <c r="L320" s="259"/>
      <c r="M320" s="259"/>
      <c r="N320" s="20"/>
      <c r="O320" s="184">
        <f t="shared" si="239"/>
        <v>0</v>
      </c>
      <c r="P320" s="184">
        <f t="shared" si="240"/>
        <v>0</v>
      </c>
      <c r="Q320" s="184">
        <f t="shared" si="241"/>
        <v>0</v>
      </c>
      <c r="R320" s="297"/>
      <c r="S320" s="20"/>
      <c r="T320" s="259"/>
      <c r="U320" s="259"/>
      <c r="V320" s="259"/>
      <c r="W320" s="259"/>
      <c r="X320" s="259"/>
      <c r="Y320" s="259"/>
      <c r="Z320" s="259"/>
      <c r="AA320" s="259"/>
      <c r="AB320" s="259"/>
      <c r="AC320" s="259"/>
      <c r="AD320" s="259"/>
      <c r="AE320" s="259"/>
      <c r="AF320" s="259"/>
      <c r="AG320" s="259"/>
      <c r="AH320" s="259"/>
      <c r="AI320" s="259"/>
      <c r="AJ320" s="259"/>
      <c r="AK320" s="259"/>
      <c r="AL320" s="259"/>
      <c r="AM320" s="259"/>
      <c r="AN320" s="259"/>
      <c r="AO320" s="259"/>
      <c r="AP320" s="259"/>
      <c r="AQ320" s="259"/>
      <c r="AR320" s="259"/>
      <c r="AS320" s="259"/>
      <c r="AT320" s="259"/>
      <c r="AU320" s="259"/>
      <c r="AV320" s="259"/>
      <c r="AW320" s="259"/>
    </row>
    <row r="321" spans="1:49" ht="15">
      <c r="A321" s="284" t="s">
        <v>192</v>
      </c>
      <c r="B321" s="220"/>
      <c r="C321" s="285">
        <f t="shared" si="234"/>
        <v>0</v>
      </c>
      <c r="D321" s="285">
        <f t="shared" si="234"/>
        <v>0</v>
      </c>
      <c r="E321" s="184">
        <f t="shared" si="232"/>
        <v>0</v>
      </c>
      <c r="F321" s="285">
        <f>F320</f>
        <v>0</v>
      </c>
      <c r="G321" s="184">
        <f t="shared" si="233"/>
        <v>0</v>
      </c>
      <c r="H321" s="285">
        <f t="shared" si="236"/>
        <v>0</v>
      </c>
      <c r="I321" s="310">
        <f t="shared" si="237"/>
        <v>18</v>
      </c>
      <c r="J321" s="310">
        <f t="shared" si="238"/>
        <v>18</v>
      </c>
      <c r="K321" s="259"/>
      <c r="L321" s="259"/>
      <c r="M321" s="259"/>
      <c r="N321" s="264"/>
      <c r="O321" s="184">
        <f t="shared" si="239"/>
        <v>0</v>
      </c>
      <c r="P321" s="184">
        <f t="shared" si="240"/>
        <v>0</v>
      </c>
      <c r="Q321" s="184">
        <f t="shared" si="241"/>
        <v>0</v>
      </c>
      <c r="R321" s="297"/>
      <c r="S321" s="264"/>
      <c r="T321" s="259"/>
      <c r="U321" s="259"/>
      <c r="V321" s="259"/>
      <c r="W321" s="259"/>
      <c r="X321" s="259"/>
      <c r="Y321" s="259"/>
      <c r="Z321" s="259"/>
      <c r="AA321" s="259"/>
      <c r="AB321" s="259"/>
      <c r="AC321" s="259"/>
      <c r="AD321" s="259"/>
      <c r="AE321" s="259"/>
      <c r="AF321" s="259"/>
      <c r="AG321" s="259"/>
      <c r="AH321" s="259"/>
      <c r="AI321" s="259"/>
      <c r="AJ321" s="259"/>
      <c r="AK321" s="259"/>
      <c r="AL321" s="259"/>
      <c r="AM321" s="259"/>
      <c r="AN321" s="259"/>
      <c r="AO321" s="259"/>
      <c r="AP321" s="259"/>
      <c r="AQ321" s="259"/>
      <c r="AR321" s="259"/>
      <c r="AS321" s="259"/>
      <c r="AT321" s="259"/>
      <c r="AU321" s="259"/>
      <c r="AV321" s="259"/>
      <c r="AW321" s="259"/>
    </row>
    <row r="322" spans="1:49" ht="12.75">
      <c r="A322" s="282">
        <f>A309+1</f>
        <v>2017</v>
      </c>
      <c r="B322" s="28"/>
      <c r="C322" s="28"/>
      <c r="D322" s="28"/>
      <c r="E322" s="306">
        <f>SUM(E323:E334)</f>
        <v>0</v>
      </c>
      <c r="F322" s="287"/>
      <c r="G322" s="283">
        <f>SUM(G323:G334)</f>
        <v>0</v>
      </c>
      <c r="H322" s="309">
        <f>SUM(H323:H334)</f>
        <v>0</v>
      </c>
      <c r="I322" s="311">
        <f>SUM(I323:I334)</f>
        <v>216</v>
      </c>
      <c r="J322" s="311">
        <f>SUM(J323:J334)</f>
        <v>216</v>
      </c>
      <c r="K322" s="259"/>
      <c r="L322" s="259"/>
      <c r="M322" s="259"/>
      <c r="N322" s="20"/>
      <c r="O322" s="136">
        <f>SUM(O323:O334)</f>
        <v>0</v>
      </c>
      <c r="P322" s="136">
        <f>SUM(P323:P334)</f>
        <v>0</v>
      </c>
      <c r="Q322" s="136">
        <f>SUM(Q323:Q334)</f>
        <v>0</v>
      </c>
      <c r="R322" s="296">
        <f>IF($A$1=A322,(J322/I322)/12*8,J322/I322)</f>
        <v>0.6666666666666666</v>
      </c>
      <c r="S322" s="20"/>
      <c r="T322" s="259"/>
      <c r="U322" s="259"/>
      <c r="V322" s="259"/>
      <c r="W322" s="259"/>
      <c r="X322" s="259"/>
      <c r="Y322" s="259"/>
      <c r="Z322" s="259"/>
      <c r="AA322" s="259"/>
      <c r="AB322" s="259"/>
      <c r="AC322" s="259"/>
      <c r="AD322" s="259"/>
      <c r="AE322" s="259"/>
      <c r="AF322" s="259"/>
      <c r="AG322" s="259"/>
      <c r="AH322" s="259"/>
      <c r="AI322" s="259"/>
      <c r="AJ322" s="259"/>
      <c r="AK322" s="259"/>
      <c r="AL322" s="259"/>
      <c r="AM322" s="259"/>
      <c r="AN322" s="259"/>
      <c r="AO322" s="259"/>
      <c r="AP322" s="259"/>
      <c r="AQ322" s="259"/>
      <c r="AR322" s="259"/>
      <c r="AS322" s="259"/>
      <c r="AT322" s="259"/>
      <c r="AU322" s="259"/>
      <c r="AV322" s="259"/>
      <c r="AW322" s="259"/>
    </row>
    <row r="323" spans="1:49" ht="15">
      <c r="A323" s="284" t="s">
        <v>181</v>
      </c>
      <c r="B323" s="220"/>
      <c r="C323" s="285">
        <f>C321</f>
        <v>0</v>
      </c>
      <c r="D323" s="285">
        <f>D321</f>
        <v>0</v>
      </c>
      <c r="E323" s="184">
        <f aca="true" t="shared" si="242" ref="E323:E334">C323+D323</f>
        <v>0</v>
      </c>
      <c r="F323" s="285">
        <f>F321</f>
        <v>0</v>
      </c>
      <c r="G323" s="184">
        <f aca="true" t="shared" si="243" ref="G323:G334">SUM(E323:F323)</f>
        <v>0</v>
      </c>
      <c r="H323" s="285">
        <f>H321</f>
        <v>0</v>
      </c>
      <c r="I323" s="310">
        <f>I321</f>
        <v>18</v>
      </c>
      <c r="J323" s="310">
        <f>J321</f>
        <v>18</v>
      </c>
      <c r="K323" s="259"/>
      <c r="L323" s="259"/>
      <c r="M323" s="259"/>
      <c r="N323" s="264"/>
      <c r="O323" s="184">
        <f>G323/I323*J323</f>
        <v>0</v>
      </c>
      <c r="P323" s="184">
        <f>E323*0.18/I323*J323</f>
        <v>0</v>
      </c>
      <c r="Q323" s="184">
        <f>H323/I323*J323</f>
        <v>0</v>
      </c>
      <c r="R323" s="297"/>
      <c r="S323" s="264"/>
      <c r="T323" s="259"/>
      <c r="U323" s="259"/>
      <c r="V323" s="259"/>
      <c r="W323" s="259"/>
      <c r="X323" s="259"/>
      <c r="Y323" s="259"/>
      <c r="Z323" s="259"/>
      <c r="AA323" s="259"/>
      <c r="AB323" s="259"/>
      <c r="AC323" s="259"/>
      <c r="AD323" s="259"/>
      <c r="AE323" s="259"/>
      <c r="AF323" s="259"/>
      <c r="AG323" s="259"/>
      <c r="AH323" s="259"/>
      <c r="AI323" s="259"/>
      <c r="AJ323" s="259"/>
      <c r="AK323" s="259"/>
      <c r="AL323" s="259"/>
      <c r="AM323" s="259"/>
      <c r="AN323" s="259"/>
      <c r="AO323" s="259"/>
      <c r="AP323" s="259"/>
      <c r="AQ323" s="259"/>
      <c r="AR323" s="259"/>
      <c r="AS323" s="259"/>
      <c r="AT323" s="259"/>
      <c r="AU323" s="259"/>
      <c r="AV323" s="259"/>
      <c r="AW323" s="259"/>
    </row>
    <row r="324" spans="1:49" ht="12">
      <c r="A324" s="284" t="s">
        <v>182</v>
      </c>
      <c r="B324" s="220"/>
      <c r="C324" s="285">
        <f aca="true" t="shared" si="244" ref="C324:D334">C323</f>
        <v>0</v>
      </c>
      <c r="D324" s="285">
        <f t="shared" si="244"/>
        <v>0</v>
      </c>
      <c r="E324" s="184">
        <f t="shared" si="242"/>
        <v>0</v>
      </c>
      <c r="F324" s="285">
        <f aca="true" t="shared" si="245" ref="F324:F331">F323</f>
        <v>0</v>
      </c>
      <c r="G324" s="184">
        <f t="shared" si="243"/>
        <v>0</v>
      </c>
      <c r="H324" s="285">
        <f aca="true" t="shared" si="246" ref="H324:H334">H323</f>
        <v>0</v>
      </c>
      <c r="I324" s="310">
        <f aca="true" t="shared" si="247" ref="I324:I334">I323</f>
        <v>18</v>
      </c>
      <c r="J324" s="310">
        <f aca="true" t="shared" si="248" ref="J324:J334">J323</f>
        <v>18</v>
      </c>
      <c r="K324" s="259"/>
      <c r="L324" s="259"/>
      <c r="M324" s="259"/>
      <c r="N324" s="20"/>
      <c r="O324" s="184">
        <f aca="true" t="shared" si="249" ref="O324:O334">G324/I324*J324</f>
        <v>0</v>
      </c>
      <c r="P324" s="184">
        <f aca="true" t="shared" si="250" ref="P324:P334">E324*0.18/I324*J324</f>
        <v>0</v>
      </c>
      <c r="Q324" s="184">
        <f aca="true" t="shared" si="251" ref="Q324:Q334">H324/I324*J324</f>
        <v>0</v>
      </c>
      <c r="R324" s="297"/>
      <c r="S324" s="20"/>
      <c r="T324" s="259"/>
      <c r="U324" s="259"/>
      <c r="V324" s="259"/>
      <c r="W324" s="259"/>
      <c r="X324" s="259"/>
      <c r="Y324" s="259"/>
      <c r="Z324" s="259"/>
      <c r="AA324" s="259"/>
      <c r="AB324" s="259"/>
      <c r="AC324" s="259"/>
      <c r="AD324" s="259"/>
      <c r="AE324" s="259"/>
      <c r="AF324" s="259"/>
      <c r="AG324" s="259"/>
      <c r="AH324" s="259"/>
      <c r="AI324" s="259"/>
      <c r="AJ324" s="259"/>
      <c r="AK324" s="259"/>
      <c r="AL324" s="259"/>
      <c r="AM324" s="259"/>
      <c r="AN324" s="259"/>
      <c r="AO324" s="259"/>
      <c r="AP324" s="259"/>
      <c r="AQ324" s="259"/>
      <c r="AR324" s="259"/>
      <c r="AS324" s="259"/>
      <c r="AT324" s="259"/>
      <c r="AU324" s="259"/>
      <c r="AV324" s="259"/>
      <c r="AW324" s="259"/>
    </row>
    <row r="325" spans="1:49" ht="15">
      <c r="A325" s="284" t="s">
        <v>183</v>
      </c>
      <c r="B325" s="220"/>
      <c r="C325" s="285">
        <f t="shared" si="244"/>
        <v>0</v>
      </c>
      <c r="D325" s="285">
        <f t="shared" si="244"/>
        <v>0</v>
      </c>
      <c r="E325" s="184">
        <f t="shared" si="242"/>
        <v>0</v>
      </c>
      <c r="F325" s="285">
        <f t="shared" si="245"/>
        <v>0</v>
      </c>
      <c r="G325" s="184">
        <f t="shared" si="243"/>
        <v>0</v>
      </c>
      <c r="H325" s="285">
        <f t="shared" si="246"/>
        <v>0</v>
      </c>
      <c r="I325" s="310">
        <f t="shared" si="247"/>
        <v>18</v>
      </c>
      <c r="J325" s="310">
        <f t="shared" si="248"/>
        <v>18</v>
      </c>
      <c r="K325" s="259"/>
      <c r="L325" s="259"/>
      <c r="M325" s="259"/>
      <c r="N325" s="264"/>
      <c r="O325" s="184">
        <f t="shared" si="249"/>
        <v>0</v>
      </c>
      <c r="P325" s="184">
        <f t="shared" si="250"/>
        <v>0</v>
      </c>
      <c r="Q325" s="184">
        <f t="shared" si="251"/>
        <v>0</v>
      </c>
      <c r="R325" s="297"/>
      <c r="S325" s="264"/>
      <c r="T325" s="259"/>
      <c r="U325" s="259"/>
      <c r="V325" s="259"/>
      <c r="W325" s="259"/>
      <c r="X325" s="259"/>
      <c r="Y325" s="259"/>
      <c r="Z325" s="259"/>
      <c r="AA325" s="259"/>
      <c r="AB325" s="259"/>
      <c r="AC325" s="259"/>
      <c r="AD325" s="259"/>
      <c r="AE325" s="259"/>
      <c r="AF325" s="259"/>
      <c r="AG325" s="259"/>
      <c r="AH325" s="259"/>
      <c r="AI325" s="259"/>
      <c r="AJ325" s="259"/>
      <c r="AK325" s="259"/>
      <c r="AL325" s="259"/>
      <c r="AM325" s="259"/>
      <c r="AN325" s="259"/>
      <c r="AO325" s="259"/>
      <c r="AP325" s="259"/>
      <c r="AQ325" s="259"/>
      <c r="AR325" s="259"/>
      <c r="AS325" s="259"/>
      <c r="AT325" s="259"/>
      <c r="AU325" s="259"/>
      <c r="AV325" s="259"/>
      <c r="AW325" s="259"/>
    </row>
    <row r="326" spans="1:49" ht="12">
      <c r="A326" s="284" t="s">
        <v>184</v>
      </c>
      <c r="B326" s="220"/>
      <c r="C326" s="285">
        <f t="shared" si="244"/>
        <v>0</v>
      </c>
      <c r="D326" s="285">
        <f t="shared" si="244"/>
        <v>0</v>
      </c>
      <c r="E326" s="184">
        <f t="shared" si="242"/>
        <v>0</v>
      </c>
      <c r="F326" s="285">
        <f t="shared" si="245"/>
        <v>0</v>
      </c>
      <c r="G326" s="184">
        <f t="shared" si="243"/>
        <v>0</v>
      </c>
      <c r="H326" s="285">
        <f t="shared" si="246"/>
        <v>0</v>
      </c>
      <c r="I326" s="310">
        <f t="shared" si="247"/>
        <v>18</v>
      </c>
      <c r="J326" s="310">
        <f t="shared" si="248"/>
        <v>18</v>
      </c>
      <c r="K326" s="259"/>
      <c r="L326" s="259"/>
      <c r="M326" s="259"/>
      <c r="N326" s="20"/>
      <c r="O326" s="184">
        <f t="shared" si="249"/>
        <v>0</v>
      </c>
      <c r="P326" s="184">
        <f t="shared" si="250"/>
        <v>0</v>
      </c>
      <c r="Q326" s="184">
        <f t="shared" si="251"/>
        <v>0</v>
      </c>
      <c r="R326" s="297"/>
      <c r="S326" s="20"/>
      <c r="T326" s="259"/>
      <c r="U326" s="259"/>
      <c r="V326" s="259"/>
      <c r="W326" s="259"/>
      <c r="X326" s="259"/>
      <c r="Y326" s="259"/>
      <c r="Z326" s="259"/>
      <c r="AA326" s="259"/>
      <c r="AB326" s="259"/>
      <c r="AC326" s="259"/>
      <c r="AD326" s="259"/>
      <c r="AE326" s="259"/>
      <c r="AF326" s="259"/>
      <c r="AG326" s="259"/>
      <c r="AH326" s="259"/>
      <c r="AI326" s="259"/>
      <c r="AJ326" s="259"/>
      <c r="AK326" s="259"/>
      <c r="AL326" s="259"/>
      <c r="AM326" s="259"/>
      <c r="AN326" s="259"/>
      <c r="AO326" s="259"/>
      <c r="AP326" s="259"/>
      <c r="AQ326" s="259"/>
      <c r="AR326" s="259"/>
      <c r="AS326" s="259"/>
      <c r="AT326" s="259"/>
      <c r="AU326" s="259"/>
      <c r="AV326" s="259"/>
      <c r="AW326" s="259"/>
    </row>
    <row r="327" spans="1:49" ht="15">
      <c r="A327" s="284" t="s">
        <v>185</v>
      </c>
      <c r="B327" s="220"/>
      <c r="C327" s="285">
        <f t="shared" si="244"/>
        <v>0</v>
      </c>
      <c r="D327" s="285">
        <f t="shared" si="244"/>
        <v>0</v>
      </c>
      <c r="E327" s="184">
        <f t="shared" si="242"/>
        <v>0</v>
      </c>
      <c r="F327" s="285">
        <f t="shared" si="245"/>
        <v>0</v>
      </c>
      <c r="G327" s="184">
        <f t="shared" si="243"/>
        <v>0</v>
      </c>
      <c r="H327" s="285">
        <f t="shared" si="246"/>
        <v>0</v>
      </c>
      <c r="I327" s="310">
        <f t="shared" si="247"/>
        <v>18</v>
      </c>
      <c r="J327" s="310">
        <f t="shared" si="248"/>
        <v>18</v>
      </c>
      <c r="K327" s="259"/>
      <c r="L327" s="259"/>
      <c r="M327" s="259"/>
      <c r="N327" s="264"/>
      <c r="O327" s="184">
        <f t="shared" si="249"/>
        <v>0</v>
      </c>
      <c r="P327" s="184">
        <f t="shared" si="250"/>
        <v>0</v>
      </c>
      <c r="Q327" s="184">
        <f t="shared" si="251"/>
        <v>0</v>
      </c>
      <c r="R327" s="297"/>
      <c r="S327" s="264"/>
      <c r="T327" s="259"/>
      <c r="U327" s="259"/>
      <c r="V327" s="259"/>
      <c r="W327" s="259"/>
      <c r="X327" s="259"/>
      <c r="Y327" s="259"/>
      <c r="Z327" s="259"/>
      <c r="AA327" s="259"/>
      <c r="AB327" s="259"/>
      <c r="AC327" s="259"/>
      <c r="AD327" s="259"/>
      <c r="AE327" s="259"/>
      <c r="AF327" s="259"/>
      <c r="AG327" s="259"/>
      <c r="AH327" s="259"/>
      <c r="AI327" s="259"/>
      <c r="AJ327" s="259"/>
      <c r="AK327" s="259"/>
      <c r="AL327" s="259"/>
      <c r="AM327" s="259"/>
      <c r="AN327" s="259"/>
      <c r="AO327" s="259"/>
      <c r="AP327" s="259"/>
      <c r="AQ327" s="259"/>
      <c r="AR327" s="259"/>
      <c r="AS327" s="259"/>
      <c r="AT327" s="259"/>
      <c r="AU327" s="259"/>
      <c r="AV327" s="259"/>
      <c r="AW327" s="259"/>
    </row>
    <row r="328" spans="1:49" ht="12">
      <c r="A328" s="284" t="s">
        <v>186</v>
      </c>
      <c r="B328" s="220"/>
      <c r="C328" s="285">
        <f t="shared" si="244"/>
        <v>0</v>
      </c>
      <c r="D328" s="285">
        <f t="shared" si="244"/>
        <v>0</v>
      </c>
      <c r="E328" s="184">
        <f t="shared" si="242"/>
        <v>0</v>
      </c>
      <c r="F328" s="285">
        <f t="shared" si="245"/>
        <v>0</v>
      </c>
      <c r="G328" s="184">
        <f t="shared" si="243"/>
        <v>0</v>
      </c>
      <c r="H328" s="285">
        <f t="shared" si="246"/>
        <v>0</v>
      </c>
      <c r="I328" s="310">
        <f t="shared" si="247"/>
        <v>18</v>
      </c>
      <c r="J328" s="310">
        <f t="shared" si="248"/>
        <v>18</v>
      </c>
      <c r="K328" s="259"/>
      <c r="L328" s="259"/>
      <c r="M328" s="259"/>
      <c r="N328" s="20"/>
      <c r="O328" s="184">
        <f t="shared" si="249"/>
        <v>0</v>
      </c>
      <c r="P328" s="184">
        <f t="shared" si="250"/>
        <v>0</v>
      </c>
      <c r="Q328" s="184">
        <f t="shared" si="251"/>
        <v>0</v>
      </c>
      <c r="R328" s="297"/>
      <c r="S328" s="20"/>
      <c r="T328" s="259"/>
      <c r="U328" s="259"/>
      <c r="V328" s="259"/>
      <c r="W328" s="259"/>
      <c r="X328" s="259"/>
      <c r="Y328" s="259"/>
      <c r="Z328" s="259"/>
      <c r="AA328" s="259"/>
      <c r="AB328" s="259"/>
      <c r="AC328" s="259"/>
      <c r="AD328" s="259"/>
      <c r="AE328" s="259"/>
      <c r="AF328" s="259"/>
      <c r="AG328" s="259"/>
      <c r="AH328" s="259"/>
      <c r="AI328" s="259"/>
      <c r="AJ328" s="259"/>
      <c r="AK328" s="259"/>
      <c r="AL328" s="259"/>
      <c r="AM328" s="259"/>
      <c r="AN328" s="259"/>
      <c r="AO328" s="259"/>
      <c r="AP328" s="259"/>
      <c r="AQ328" s="259"/>
      <c r="AR328" s="259"/>
      <c r="AS328" s="259"/>
      <c r="AT328" s="259"/>
      <c r="AU328" s="259"/>
      <c r="AV328" s="259"/>
      <c r="AW328" s="259"/>
    </row>
    <row r="329" spans="1:49" ht="15">
      <c r="A329" s="284" t="s">
        <v>187</v>
      </c>
      <c r="B329" s="220"/>
      <c r="C329" s="285">
        <f t="shared" si="244"/>
        <v>0</v>
      </c>
      <c r="D329" s="285">
        <f t="shared" si="244"/>
        <v>0</v>
      </c>
      <c r="E329" s="184">
        <f t="shared" si="242"/>
        <v>0</v>
      </c>
      <c r="F329" s="285">
        <f t="shared" si="245"/>
        <v>0</v>
      </c>
      <c r="G329" s="184">
        <f t="shared" si="243"/>
        <v>0</v>
      </c>
      <c r="H329" s="285">
        <f t="shared" si="246"/>
        <v>0</v>
      </c>
      <c r="I329" s="310">
        <f t="shared" si="247"/>
        <v>18</v>
      </c>
      <c r="J329" s="310">
        <f t="shared" si="248"/>
        <v>18</v>
      </c>
      <c r="K329" s="259"/>
      <c r="L329" s="259"/>
      <c r="M329" s="259"/>
      <c r="N329" s="264"/>
      <c r="O329" s="184">
        <f t="shared" si="249"/>
        <v>0</v>
      </c>
      <c r="P329" s="184">
        <f t="shared" si="250"/>
        <v>0</v>
      </c>
      <c r="Q329" s="184">
        <f t="shared" si="251"/>
        <v>0</v>
      </c>
      <c r="R329" s="297"/>
      <c r="S329" s="264"/>
      <c r="T329" s="259"/>
      <c r="U329" s="259"/>
      <c r="V329" s="259"/>
      <c r="W329" s="259"/>
      <c r="X329" s="259"/>
      <c r="Y329" s="259"/>
      <c r="Z329" s="259"/>
      <c r="AA329" s="259"/>
      <c r="AB329" s="259"/>
      <c r="AC329" s="259"/>
      <c r="AD329" s="259"/>
      <c r="AE329" s="259"/>
      <c r="AF329" s="259"/>
      <c r="AG329" s="259"/>
      <c r="AH329" s="259"/>
      <c r="AI329" s="259"/>
      <c r="AJ329" s="259"/>
      <c r="AK329" s="259"/>
      <c r="AL329" s="259"/>
      <c r="AM329" s="259"/>
      <c r="AN329" s="259"/>
      <c r="AO329" s="259"/>
      <c r="AP329" s="259"/>
      <c r="AQ329" s="259"/>
      <c r="AR329" s="259"/>
      <c r="AS329" s="259"/>
      <c r="AT329" s="259"/>
      <c r="AU329" s="259"/>
      <c r="AV329" s="259"/>
      <c r="AW329" s="259"/>
    </row>
    <row r="330" spans="1:49" ht="12">
      <c r="A330" s="284" t="s">
        <v>188</v>
      </c>
      <c r="B330" s="220"/>
      <c r="C330" s="285">
        <f t="shared" si="244"/>
        <v>0</v>
      </c>
      <c r="D330" s="285">
        <f t="shared" si="244"/>
        <v>0</v>
      </c>
      <c r="E330" s="184">
        <f t="shared" si="242"/>
        <v>0</v>
      </c>
      <c r="F330" s="285">
        <f t="shared" si="245"/>
        <v>0</v>
      </c>
      <c r="G330" s="184">
        <f t="shared" si="243"/>
        <v>0</v>
      </c>
      <c r="H330" s="285">
        <f t="shared" si="246"/>
        <v>0</v>
      </c>
      <c r="I330" s="310">
        <f t="shared" si="247"/>
        <v>18</v>
      </c>
      <c r="J330" s="310">
        <f t="shared" si="248"/>
        <v>18</v>
      </c>
      <c r="K330" s="259"/>
      <c r="L330" s="259"/>
      <c r="M330" s="259"/>
      <c r="N330" s="20"/>
      <c r="O330" s="184">
        <f t="shared" si="249"/>
        <v>0</v>
      </c>
      <c r="P330" s="184">
        <f t="shared" si="250"/>
        <v>0</v>
      </c>
      <c r="Q330" s="184">
        <f t="shared" si="251"/>
        <v>0</v>
      </c>
      <c r="R330" s="297"/>
      <c r="S330" s="20"/>
      <c r="T330" s="259"/>
      <c r="U330" s="259"/>
      <c r="V330" s="259"/>
      <c r="W330" s="259"/>
      <c r="X330" s="259"/>
      <c r="Y330" s="259"/>
      <c r="Z330" s="259"/>
      <c r="AA330" s="259"/>
      <c r="AB330" s="259"/>
      <c r="AC330" s="259"/>
      <c r="AD330" s="259"/>
      <c r="AE330" s="259"/>
      <c r="AF330" s="259"/>
      <c r="AG330" s="259"/>
      <c r="AH330" s="259"/>
      <c r="AI330" s="259"/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259"/>
      <c r="AU330" s="259"/>
      <c r="AV330" s="259"/>
      <c r="AW330" s="259"/>
    </row>
    <row r="331" spans="1:49" ht="15">
      <c r="A331" s="284" t="s">
        <v>189</v>
      </c>
      <c r="B331" s="220"/>
      <c r="C331" s="285">
        <f>C330</f>
        <v>0</v>
      </c>
      <c r="D331" s="285">
        <f>D330</f>
        <v>0</v>
      </c>
      <c r="E331" s="184">
        <f t="shared" si="242"/>
        <v>0</v>
      </c>
      <c r="F331" s="285">
        <f t="shared" si="245"/>
        <v>0</v>
      </c>
      <c r="G331" s="184">
        <f t="shared" si="243"/>
        <v>0</v>
      </c>
      <c r="H331" s="285">
        <f t="shared" si="246"/>
        <v>0</v>
      </c>
      <c r="I331" s="310">
        <f t="shared" si="247"/>
        <v>18</v>
      </c>
      <c r="J331" s="310">
        <f t="shared" si="248"/>
        <v>18</v>
      </c>
      <c r="K331" s="259"/>
      <c r="L331" s="259"/>
      <c r="M331" s="259"/>
      <c r="N331" s="264"/>
      <c r="O331" s="184">
        <f t="shared" si="249"/>
        <v>0</v>
      </c>
      <c r="P331" s="184">
        <f t="shared" si="250"/>
        <v>0</v>
      </c>
      <c r="Q331" s="184">
        <f t="shared" si="251"/>
        <v>0</v>
      </c>
      <c r="R331" s="297"/>
      <c r="S331" s="264"/>
      <c r="T331" s="259"/>
      <c r="U331" s="259"/>
      <c r="V331" s="259"/>
      <c r="W331" s="259"/>
      <c r="X331" s="259"/>
      <c r="Y331" s="259"/>
      <c r="Z331" s="259"/>
      <c r="AA331" s="259"/>
      <c r="AB331" s="259"/>
      <c r="AC331" s="259"/>
      <c r="AD331" s="259"/>
      <c r="AE331" s="259"/>
      <c r="AF331" s="259"/>
      <c r="AG331" s="259"/>
      <c r="AH331" s="259"/>
      <c r="AI331" s="259"/>
      <c r="AJ331" s="259"/>
      <c r="AK331" s="259"/>
      <c r="AL331" s="259"/>
      <c r="AM331" s="259"/>
      <c r="AN331" s="259"/>
      <c r="AO331" s="259"/>
      <c r="AP331" s="259"/>
      <c r="AQ331" s="259"/>
      <c r="AR331" s="259"/>
      <c r="AS331" s="259"/>
      <c r="AT331" s="259"/>
      <c r="AU331" s="259"/>
      <c r="AV331" s="259"/>
      <c r="AW331" s="259"/>
    </row>
    <row r="332" spans="1:19" ht="15">
      <c r="A332" s="284" t="s">
        <v>190</v>
      </c>
      <c r="B332" s="220"/>
      <c r="C332" s="285">
        <f t="shared" si="244"/>
        <v>0</v>
      </c>
      <c r="D332" s="285">
        <f t="shared" si="244"/>
        <v>0</v>
      </c>
      <c r="E332" s="184">
        <f t="shared" si="242"/>
        <v>0</v>
      </c>
      <c r="F332" s="285">
        <f>F331</f>
        <v>0</v>
      </c>
      <c r="G332" s="184">
        <f t="shared" si="243"/>
        <v>0</v>
      </c>
      <c r="H332" s="285">
        <f t="shared" si="246"/>
        <v>0</v>
      </c>
      <c r="I332" s="310">
        <f t="shared" si="247"/>
        <v>18</v>
      </c>
      <c r="J332" s="310">
        <f t="shared" si="248"/>
        <v>18</v>
      </c>
      <c r="K332" s="259"/>
      <c r="L332" s="259"/>
      <c r="M332" s="259"/>
      <c r="N332" s="264"/>
      <c r="O332" s="184">
        <f t="shared" si="249"/>
        <v>0</v>
      </c>
      <c r="P332" s="184">
        <f t="shared" si="250"/>
        <v>0</v>
      </c>
      <c r="Q332" s="184">
        <f t="shared" si="251"/>
        <v>0</v>
      </c>
      <c r="R332" s="297"/>
      <c r="S332" s="264"/>
    </row>
    <row r="333" spans="1:19" ht="15">
      <c r="A333" s="284" t="s">
        <v>191</v>
      </c>
      <c r="B333" s="220"/>
      <c r="C333" s="285">
        <f t="shared" si="244"/>
        <v>0</v>
      </c>
      <c r="D333" s="285">
        <f t="shared" si="244"/>
        <v>0</v>
      </c>
      <c r="E333" s="184">
        <f t="shared" si="242"/>
        <v>0</v>
      </c>
      <c r="F333" s="285">
        <f>F332</f>
        <v>0</v>
      </c>
      <c r="G333" s="184">
        <f t="shared" si="243"/>
        <v>0</v>
      </c>
      <c r="H333" s="285">
        <f t="shared" si="246"/>
        <v>0</v>
      </c>
      <c r="I333" s="310">
        <f t="shared" si="247"/>
        <v>18</v>
      </c>
      <c r="J333" s="310">
        <f t="shared" si="248"/>
        <v>18</v>
      </c>
      <c r="K333" s="259"/>
      <c r="L333" s="259"/>
      <c r="M333" s="259"/>
      <c r="N333" s="264"/>
      <c r="O333" s="184">
        <f t="shared" si="249"/>
        <v>0</v>
      </c>
      <c r="P333" s="184">
        <f t="shared" si="250"/>
        <v>0</v>
      </c>
      <c r="Q333" s="184">
        <f t="shared" si="251"/>
        <v>0</v>
      </c>
      <c r="R333" s="297"/>
      <c r="S333" s="264"/>
    </row>
    <row r="334" spans="1:19" ht="15">
      <c r="A334" s="284" t="s">
        <v>192</v>
      </c>
      <c r="B334" s="220"/>
      <c r="C334" s="285">
        <f t="shared" si="244"/>
        <v>0</v>
      </c>
      <c r="D334" s="285">
        <f t="shared" si="244"/>
        <v>0</v>
      </c>
      <c r="E334" s="184">
        <f t="shared" si="242"/>
        <v>0</v>
      </c>
      <c r="F334" s="285">
        <f>F333</f>
        <v>0</v>
      </c>
      <c r="G334" s="184">
        <f t="shared" si="243"/>
        <v>0</v>
      </c>
      <c r="H334" s="285">
        <f t="shared" si="246"/>
        <v>0</v>
      </c>
      <c r="I334" s="310">
        <f t="shared" si="247"/>
        <v>18</v>
      </c>
      <c r="J334" s="310">
        <f t="shared" si="248"/>
        <v>18</v>
      </c>
      <c r="K334" s="259"/>
      <c r="L334" s="259"/>
      <c r="M334" s="259"/>
      <c r="N334" s="264"/>
      <c r="O334" s="184">
        <f t="shared" si="249"/>
        <v>0</v>
      </c>
      <c r="P334" s="184">
        <f t="shared" si="250"/>
        <v>0</v>
      </c>
      <c r="Q334" s="184">
        <f t="shared" si="251"/>
        <v>0</v>
      </c>
      <c r="R334" s="297"/>
      <c r="S334" s="264"/>
    </row>
    <row r="335" spans="1:19" ht="15">
      <c r="A335" s="282">
        <f>A322+1</f>
        <v>2018</v>
      </c>
      <c r="B335" s="28"/>
      <c r="C335" s="28"/>
      <c r="D335" s="28"/>
      <c r="E335" s="306">
        <f>SUM(E336:E347)</f>
        <v>0</v>
      </c>
      <c r="F335" s="287"/>
      <c r="G335" s="283">
        <f>SUM(G336:G347)</f>
        <v>0</v>
      </c>
      <c r="H335" s="309">
        <f>SUM(H336:H347)</f>
        <v>0</v>
      </c>
      <c r="I335" s="311">
        <f>SUM(I336:I347)</f>
        <v>216</v>
      </c>
      <c r="J335" s="311">
        <f>SUM(J336:J347)</f>
        <v>216</v>
      </c>
      <c r="K335" s="259"/>
      <c r="L335" s="259"/>
      <c r="M335" s="259"/>
      <c r="N335" s="264"/>
      <c r="O335" s="136">
        <f>SUM(O336:O347)</f>
        <v>0</v>
      </c>
      <c r="P335" s="136">
        <f>SUM(P336:P347)</f>
        <v>0</v>
      </c>
      <c r="Q335" s="136">
        <f>SUM(Q336:Q347)</f>
        <v>0</v>
      </c>
      <c r="R335" s="296">
        <f>IF($A$1=A335,(J335/I335)/12*8,J335/I335)</f>
        <v>1</v>
      </c>
      <c r="S335" s="264"/>
    </row>
    <row r="336" spans="1:19" ht="15">
      <c r="A336" s="284" t="s">
        <v>181</v>
      </c>
      <c r="B336" s="220"/>
      <c r="C336" s="285">
        <f>C334</f>
        <v>0</v>
      </c>
      <c r="D336" s="285">
        <f>D334</f>
        <v>0</v>
      </c>
      <c r="E336" s="184">
        <f aca="true" t="shared" si="252" ref="E336:E347">C336+D336</f>
        <v>0</v>
      </c>
      <c r="F336" s="285">
        <f>F334</f>
        <v>0</v>
      </c>
      <c r="G336" s="184">
        <f aca="true" t="shared" si="253" ref="G336:G347">SUM(E336:F336)</f>
        <v>0</v>
      </c>
      <c r="H336" s="285">
        <f>H334</f>
        <v>0</v>
      </c>
      <c r="I336" s="310">
        <f>I334</f>
        <v>18</v>
      </c>
      <c r="J336" s="310">
        <f>J334</f>
        <v>18</v>
      </c>
      <c r="K336" s="259"/>
      <c r="L336" s="259"/>
      <c r="M336" s="259"/>
      <c r="N336" s="264"/>
      <c r="O336" s="184">
        <f>G336/I336*J336</f>
        <v>0</v>
      </c>
      <c r="P336" s="184">
        <f>E336*0.18/I336*J336</f>
        <v>0</v>
      </c>
      <c r="Q336" s="184">
        <f>H336/I336*J336</f>
        <v>0</v>
      </c>
      <c r="R336" s="297"/>
      <c r="S336" s="264"/>
    </row>
    <row r="337" spans="1:19" ht="15">
      <c r="A337" s="284" t="s">
        <v>182</v>
      </c>
      <c r="B337" s="220"/>
      <c r="C337" s="285">
        <f aca="true" t="shared" si="254" ref="C337:D347">C336</f>
        <v>0</v>
      </c>
      <c r="D337" s="285">
        <f t="shared" si="254"/>
        <v>0</v>
      </c>
      <c r="E337" s="184">
        <f t="shared" si="252"/>
        <v>0</v>
      </c>
      <c r="F337" s="285">
        <f aca="true" t="shared" si="255" ref="F337:F344">F336</f>
        <v>0</v>
      </c>
      <c r="G337" s="184">
        <f t="shared" si="253"/>
        <v>0</v>
      </c>
      <c r="H337" s="285">
        <f aca="true" t="shared" si="256" ref="H337:H347">H336</f>
        <v>0</v>
      </c>
      <c r="I337" s="310">
        <f aca="true" t="shared" si="257" ref="I337:I347">I336</f>
        <v>18</v>
      </c>
      <c r="J337" s="310">
        <f aca="true" t="shared" si="258" ref="J337:J347">J336</f>
        <v>18</v>
      </c>
      <c r="K337" s="259"/>
      <c r="L337" s="259"/>
      <c r="M337" s="259"/>
      <c r="N337" s="264"/>
      <c r="O337" s="184">
        <f aca="true" t="shared" si="259" ref="O337:O347">G337/I337*J337</f>
        <v>0</v>
      </c>
      <c r="P337" s="184">
        <f aca="true" t="shared" si="260" ref="P337:P347">E337*0.18/I337*J337</f>
        <v>0</v>
      </c>
      <c r="Q337" s="184">
        <f aca="true" t="shared" si="261" ref="Q337:Q347">H337/I337*J337</f>
        <v>0</v>
      </c>
      <c r="R337" s="297"/>
      <c r="S337" s="264"/>
    </row>
    <row r="338" spans="1:19" ht="15">
      <c r="A338" s="284" t="s">
        <v>183</v>
      </c>
      <c r="B338" s="220"/>
      <c r="C338" s="285">
        <f t="shared" si="254"/>
        <v>0</v>
      </c>
      <c r="D338" s="285">
        <f t="shared" si="254"/>
        <v>0</v>
      </c>
      <c r="E338" s="184">
        <f t="shared" si="252"/>
        <v>0</v>
      </c>
      <c r="F338" s="285">
        <f t="shared" si="255"/>
        <v>0</v>
      </c>
      <c r="G338" s="184">
        <f t="shared" si="253"/>
        <v>0</v>
      </c>
      <c r="H338" s="285">
        <f t="shared" si="256"/>
        <v>0</v>
      </c>
      <c r="I338" s="310">
        <f t="shared" si="257"/>
        <v>18</v>
      </c>
      <c r="J338" s="310">
        <f t="shared" si="258"/>
        <v>18</v>
      </c>
      <c r="K338" s="259"/>
      <c r="L338" s="259"/>
      <c r="M338" s="259"/>
      <c r="N338" s="264"/>
      <c r="O338" s="184">
        <f t="shared" si="259"/>
        <v>0</v>
      </c>
      <c r="P338" s="184">
        <f t="shared" si="260"/>
        <v>0</v>
      </c>
      <c r="Q338" s="184">
        <f t="shared" si="261"/>
        <v>0</v>
      </c>
      <c r="R338" s="297"/>
      <c r="S338" s="264"/>
    </row>
    <row r="339" spans="1:19" ht="15">
      <c r="A339" s="284" t="s">
        <v>184</v>
      </c>
      <c r="B339" s="220"/>
      <c r="C339" s="285">
        <f t="shared" si="254"/>
        <v>0</v>
      </c>
      <c r="D339" s="285">
        <f t="shared" si="254"/>
        <v>0</v>
      </c>
      <c r="E339" s="184">
        <f t="shared" si="252"/>
        <v>0</v>
      </c>
      <c r="F339" s="285">
        <f t="shared" si="255"/>
        <v>0</v>
      </c>
      <c r="G339" s="184">
        <f t="shared" si="253"/>
        <v>0</v>
      </c>
      <c r="H339" s="285">
        <f t="shared" si="256"/>
        <v>0</v>
      </c>
      <c r="I339" s="310">
        <f t="shared" si="257"/>
        <v>18</v>
      </c>
      <c r="J339" s="310">
        <f t="shared" si="258"/>
        <v>18</v>
      </c>
      <c r="K339" s="259"/>
      <c r="L339" s="259"/>
      <c r="M339" s="259"/>
      <c r="N339" s="264"/>
      <c r="O339" s="184">
        <f t="shared" si="259"/>
        <v>0</v>
      </c>
      <c r="P339" s="184">
        <f t="shared" si="260"/>
        <v>0</v>
      </c>
      <c r="Q339" s="184">
        <f t="shared" si="261"/>
        <v>0</v>
      </c>
      <c r="R339" s="297"/>
      <c r="S339" s="264"/>
    </row>
    <row r="340" spans="1:19" ht="15">
      <c r="A340" s="284" t="s">
        <v>185</v>
      </c>
      <c r="B340" s="220"/>
      <c r="C340" s="285">
        <f t="shared" si="254"/>
        <v>0</v>
      </c>
      <c r="D340" s="285">
        <f t="shared" si="254"/>
        <v>0</v>
      </c>
      <c r="E340" s="184">
        <f t="shared" si="252"/>
        <v>0</v>
      </c>
      <c r="F340" s="285">
        <f t="shared" si="255"/>
        <v>0</v>
      </c>
      <c r="G340" s="184">
        <f t="shared" si="253"/>
        <v>0</v>
      </c>
      <c r="H340" s="285">
        <f t="shared" si="256"/>
        <v>0</v>
      </c>
      <c r="I340" s="310">
        <f t="shared" si="257"/>
        <v>18</v>
      </c>
      <c r="J340" s="310">
        <f t="shared" si="258"/>
        <v>18</v>
      </c>
      <c r="K340" s="259"/>
      <c r="L340" s="259"/>
      <c r="M340" s="259"/>
      <c r="N340" s="264"/>
      <c r="O340" s="184">
        <f t="shared" si="259"/>
        <v>0</v>
      </c>
      <c r="P340" s="184">
        <f t="shared" si="260"/>
        <v>0</v>
      </c>
      <c r="Q340" s="184">
        <f t="shared" si="261"/>
        <v>0</v>
      </c>
      <c r="R340" s="297"/>
      <c r="S340" s="264"/>
    </row>
    <row r="341" spans="1:19" ht="15">
      <c r="A341" s="284" t="s">
        <v>186</v>
      </c>
      <c r="B341" s="220"/>
      <c r="C341" s="285">
        <f t="shared" si="254"/>
        <v>0</v>
      </c>
      <c r="D341" s="285">
        <f t="shared" si="254"/>
        <v>0</v>
      </c>
      <c r="E341" s="184">
        <f t="shared" si="252"/>
        <v>0</v>
      </c>
      <c r="F341" s="285">
        <f t="shared" si="255"/>
        <v>0</v>
      </c>
      <c r="G341" s="184">
        <f t="shared" si="253"/>
        <v>0</v>
      </c>
      <c r="H341" s="285">
        <f t="shared" si="256"/>
        <v>0</v>
      </c>
      <c r="I341" s="310">
        <f t="shared" si="257"/>
        <v>18</v>
      </c>
      <c r="J341" s="310">
        <f t="shared" si="258"/>
        <v>18</v>
      </c>
      <c r="K341" s="259"/>
      <c r="L341" s="259"/>
      <c r="M341" s="259"/>
      <c r="N341" s="264"/>
      <c r="O341" s="184">
        <f t="shared" si="259"/>
        <v>0</v>
      </c>
      <c r="P341" s="184">
        <f t="shared" si="260"/>
        <v>0</v>
      </c>
      <c r="Q341" s="184">
        <f t="shared" si="261"/>
        <v>0</v>
      </c>
      <c r="R341" s="297"/>
      <c r="S341" s="264"/>
    </row>
    <row r="342" spans="1:19" ht="15">
      <c r="A342" s="284" t="s">
        <v>187</v>
      </c>
      <c r="B342" s="220"/>
      <c r="C342" s="285">
        <f t="shared" si="254"/>
        <v>0</v>
      </c>
      <c r="D342" s="285">
        <f t="shared" si="254"/>
        <v>0</v>
      </c>
      <c r="E342" s="184">
        <f t="shared" si="252"/>
        <v>0</v>
      </c>
      <c r="F342" s="285">
        <f t="shared" si="255"/>
        <v>0</v>
      </c>
      <c r="G342" s="184">
        <f t="shared" si="253"/>
        <v>0</v>
      </c>
      <c r="H342" s="285">
        <f t="shared" si="256"/>
        <v>0</v>
      </c>
      <c r="I342" s="310">
        <f t="shared" si="257"/>
        <v>18</v>
      </c>
      <c r="J342" s="310">
        <f t="shared" si="258"/>
        <v>18</v>
      </c>
      <c r="K342" s="259"/>
      <c r="L342" s="259"/>
      <c r="M342" s="259"/>
      <c r="N342" s="264"/>
      <c r="O342" s="184">
        <f t="shared" si="259"/>
        <v>0</v>
      </c>
      <c r="P342" s="184">
        <f t="shared" si="260"/>
        <v>0</v>
      </c>
      <c r="Q342" s="184">
        <f t="shared" si="261"/>
        <v>0</v>
      </c>
      <c r="R342" s="297"/>
      <c r="S342" s="264"/>
    </row>
    <row r="343" spans="1:19" ht="15">
      <c r="A343" s="284" t="s">
        <v>188</v>
      </c>
      <c r="B343" s="220"/>
      <c r="C343" s="285">
        <f t="shared" si="254"/>
        <v>0</v>
      </c>
      <c r="D343" s="285">
        <f t="shared" si="254"/>
        <v>0</v>
      </c>
      <c r="E343" s="184">
        <f t="shared" si="252"/>
        <v>0</v>
      </c>
      <c r="F343" s="285">
        <f t="shared" si="255"/>
        <v>0</v>
      </c>
      <c r="G343" s="184">
        <f t="shared" si="253"/>
        <v>0</v>
      </c>
      <c r="H343" s="285">
        <f t="shared" si="256"/>
        <v>0</v>
      </c>
      <c r="I343" s="310">
        <f t="shared" si="257"/>
        <v>18</v>
      </c>
      <c r="J343" s="310">
        <f t="shared" si="258"/>
        <v>18</v>
      </c>
      <c r="K343" s="259"/>
      <c r="L343" s="259"/>
      <c r="M343" s="259"/>
      <c r="N343" s="264"/>
      <c r="O343" s="184">
        <f t="shared" si="259"/>
        <v>0</v>
      </c>
      <c r="P343" s="184">
        <f t="shared" si="260"/>
        <v>0</v>
      </c>
      <c r="Q343" s="184">
        <f t="shared" si="261"/>
        <v>0</v>
      </c>
      <c r="R343" s="297"/>
      <c r="S343" s="264"/>
    </row>
    <row r="344" spans="1:19" ht="15">
      <c r="A344" s="284" t="s">
        <v>189</v>
      </c>
      <c r="B344" s="220"/>
      <c r="C344" s="285">
        <f t="shared" si="254"/>
        <v>0</v>
      </c>
      <c r="D344" s="285">
        <f t="shared" si="254"/>
        <v>0</v>
      </c>
      <c r="E344" s="184">
        <f t="shared" si="252"/>
        <v>0</v>
      </c>
      <c r="F344" s="285">
        <f t="shared" si="255"/>
        <v>0</v>
      </c>
      <c r="G344" s="184">
        <f t="shared" si="253"/>
        <v>0</v>
      </c>
      <c r="H344" s="285">
        <f t="shared" si="256"/>
        <v>0</v>
      </c>
      <c r="I344" s="310">
        <f t="shared" si="257"/>
        <v>18</v>
      </c>
      <c r="J344" s="310">
        <f t="shared" si="258"/>
        <v>18</v>
      </c>
      <c r="K344" s="259"/>
      <c r="L344" s="259"/>
      <c r="M344" s="259"/>
      <c r="N344" s="264"/>
      <c r="O344" s="184">
        <f t="shared" si="259"/>
        <v>0</v>
      </c>
      <c r="P344" s="184">
        <f t="shared" si="260"/>
        <v>0</v>
      </c>
      <c r="Q344" s="184">
        <f t="shared" si="261"/>
        <v>0</v>
      </c>
      <c r="R344" s="297"/>
      <c r="S344" s="264"/>
    </row>
    <row r="345" spans="1:19" ht="15">
      <c r="A345" s="284" t="s">
        <v>190</v>
      </c>
      <c r="B345" s="220"/>
      <c r="C345" s="285">
        <f t="shared" si="254"/>
        <v>0</v>
      </c>
      <c r="D345" s="285">
        <f t="shared" si="254"/>
        <v>0</v>
      </c>
      <c r="E345" s="184">
        <f t="shared" si="252"/>
        <v>0</v>
      </c>
      <c r="F345" s="285">
        <f>F344</f>
        <v>0</v>
      </c>
      <c r="G345" s="184">
        <f t="shared" si="253"/>
        <v>0</v>
      </c>
      <c r="H345" s="285">
        <f t="shared" si="256"/>
        <v>0</v>
      </c>
      <c r="I345" s="310">
        <f t="shared" si="257"/>
        <v>18</v>
      </c>
      <c r="J345" s="310">
        <f t="shared" si="258"/>
        <v>18</v>
      </c>
      <c r="K345" s="259"/>
      <c r="L345" s="259"/>
      <c r="M345" s="259"/>
      <c r="N345" s="264"/>
      <c r="O345" s="184">
        <f t="shared" si="259"/>
        <v>0</v>
      </c>
      <c r="P345" s="184">
        <f t="shared" si="260"/>
        <v>0</v>
      </c>
      <c r="Q345" s="184">
        <f t="shared" si="261"/>
        <v>0</v>
      </c>
      <c r="R345" s="297"/>
      <c r="S345" s="264"/>
    </row>
    <row r="346" spans="1:19" ht="15">
      <c r="A346" s="284" t="s">
        <v>191</v>
      </c>
      <c r="B346" s="220"/>
      <c r="C346" s="285">
        <f t="shared" si="254"/>
        <v>0</v>
      </c>
      <c r="D346" s="285">
        <f t="shared" si="254"/>
        <v>0</v>
      </c>
      <c r="E346" s="184">
        <f t="shared" si="252"/>
        <v>0</v>
      </c>
      <c r="F346" s="285">
        <f>F345</f>
        <v>0</v>
      </c>
      <c r="G346" s="184">
        <f t="shared" si="253"/>
        <v>0</v>
      </c>
      <c r="H346" s="285">
        <f t="shared" si="256"/>
        <v>0</v>
      </c>
      <c r="I346" s="310">
        <f t="shared" si="257"/>
        <v>18</v>
      </c>
      <c r="J346" s="310">
        <f t="shared" si="258"/>
        <v>18</v>
      </c>
      <c r="K346" s="259"/>
      <c r="L346" s="259"/>
      <c r="M346" s="259"/>
      <c r="N346" s="264"/>
      <c r="O346" s="184">
        <f t="shared" si="259"/>
        <v>0</v>
      </c>
      <c r="P346" s="184">
        <f t="shared" si="260"/>
        <v>0</v>
      </c>
      <c r="Q346" s="184">
        <f t="shared" si="261"/>
        <v>0</v>
      </c>
      <c r="R346" s="297"/>
      <c r="S346" s="264"/>
    </row>
    <row r="347" spans="1:19" ht="15">
      <c r="A347" s="284" t="s">
        <v>192</v>
      </c>
      <c r="B347" s="220"/>
      <c r="C347" s="285">
        <f t="shared" si="254"/>
        <v>0</v>
      </c>
      <c r="D347" s="285">
        <f t="shared" si="254"/>
        <v>0</v>
      </c>
      <c r="E347" s="184">
        <f t="shared" si="252"/>
        <v>0</v>
      </c>
      <c r="F347" s="285">
        <f>F346</f>
        <v>0</v>
      </c>
      <c r="G347" s="184">
        <f t="shared" si="253"/>
        <v>0</v>
      </c>
      <c r="H347" s="285">
        <f t="shared" si="256"/>
        <v>0</v>
      </c>
      <c r="I347" s="310">
        <f t="shared" si="257"/>
        <v>18</v>
      </c>
      <c r="J347" s="310">
        <f t="shared" si="258"/>
        <v>18</v>
      </c>
      <c r="K347" s="259"/>
      <c r="L347" s="259"/>
      <c r="M347" s="259"/>
      <c r="N347" s="264"/>
      <c r="O347" s="184">
        <f t="shared" si="259"/>
        <v>0</v>
      </c>
      <c r="P347" s="184">
        <f t="shared" si="260"/>
        <v>0</v>
      </c>
      <c r="Q347" s="184">
        <f t="shared" si="261"/>
        <v>0</v>
      </c>
      <c r="R347" s="297"/>
      <c r="S347" s="264"/>
    </row>
    <row r="348" spans="1:19" ht="15">
      <c r="A348" s="282">
        <f>A335+1</f>
        <v>2019</v>
      </c>
      <c r="B348" s="28"/>
      <c r="C348" s="28"/>
      <c r="D348" s="28"/>
      <c r="E348" s="306">
        <f>SUM(E349:E360)</f>
        <v>0</v>
      </c>
      <c r="F348" s="287"/>
      <c r="G348" s="283">
        <f>SUM(G349:G360)</f>
        <v>0</v>
      </c>
      <c r="H348" s="309">
        <f>SUM(H349:H360)</f>
        <v>0</v>
      </c>
      <c r="I348" s="311">
        <f>SUM(I349:I360)</f>
        <v>216</v>
      </c>
      <c r="J348" s="311">
        <f>SUM(J349:J360)</f>
        <v>216</v>
      </c>
      <c r="K348" s="259"/>
      <c r="L348" s="259"/>
      <c r="M348" s="259"/>
      <c r="N348" s="264"/>
      <c r="O348" s="136">
        <f>SUM(O349:O360)</f>
        <v>0</v>
      </c>
      <c r="P348" s="136">
        <f>SUM(P349:P360)</f>
        <v>0</v>
      </c>
      <c r="Q348" s="136">
        <f>SUM(Q349:Q360)</f>
        <v>0</v>
      </c>
      <c r="R348" s="296">
        <f>IF($A$1=A348,(J348/I348)/12*8,J348/I348)</f>
        <v>1</v>
      </c>
      <c r="S348" s="264"/>
    </row>
    <row r="349" spans="1:19" ht="15">
      <c r="A349" s="284" t="s">
        <v>181</v>
      </c>
      <c r="B349" s="220"/>
      <c r="C349" s="285">
        <f>C347</f>
        <v>0</v>
      </c>
      <c r="D349" s="285">
        <f>D347</f>
        <v>0</v>
      </c>
      <c r="E349" s="184">
        <f aca="true" t="shared" si="262" ref="E349:E360">C349+D349</f>
        <v>0</v>
      </c>
      <c r="F349" s="285">
        <f>F347</f>
        <v>0</v>
      </c>
      <c r="G349" s="184">
        <f aca="true" t="shared" si="263" ref="G349:G360">SUM(E349:F349)</f>
        <v>0</v>
      </c>
      <c r="H349" s="285">
        <f>H347</f>
        <v>0</v>
      </c>
      <c r="I349" s="310">
        <f>I347</f>
        <v>18</v>
      </c>
      <c r="J349" s="310">
        <f>J347</f>
        <v>18</v>
      </c>
      <c r="K349" s="259"/>
      <c r="L349" s="259"/>
      <c r="M349" s="259"/>
      <c r="N349" s="264"/>
      <c r="O349" s="184">
        <f>G349/I349*J349</f>
        <v>0</v>
      </c>
      <c r="P349" s="184">
        <f>E349*0.18/I349*J349</f>
        <v>0</v>
      </c>
      <c r="Q349" s="184">
        <f>H349/I349*J349</f>
        <v>0</v>
      </c>
      <c r="R349" s="297"/>
      <c r="S349" s="264"/>
    </row>
    <row r="350" spans="1:19" ht="15">
      <c r="A350" s="284" t="s">
        <v>182</v>
      </c>
      <c r="B350" s="220"/>
      <c r="C350" s="285">
        <f aca="true" t="shared" si="264" ref="C350:D360">C349</f>
        <v>0</v>
      </c>
      <c r="D350" s="285">
        <f t="shared" si="264"/>
        <v>0</v>
      </c>
      <c r="E350" s="184">
        <f t="shared" si="262"/>
        <v>0</v>
      </c>
      <c r="F350" s="285">
        <f aca="true" t="shared" si="265" ref="F350:F357">F349</f>
        <v>0</v>
      </c>
      <c r="G350" s="184">
        <f t="shared" si="263"/>
        <v>0</v>
      </c>
      <c r="H350" s="285">
        <f aca="true" t="shared" si="266" ref="H350:H360">H349</f>
        <v>0</v>
      </c>
      <c r="I350" s="310">
        <f aca="true" t="shared" si="267" ref="I350:I360">I349</f>
        <v>18</v>
      </c>
      <c r="J350" s="310">
        <f aca="true" t="shared" si="268" ref="J350:J360">J349</f>
        <v>18</v>
      </c>
      <c r="K350" s="259"/>
      <c r="L350" s="259"/>
      <c r="M350" s="259"/>
      <c r="N350" s="264"/>
      <c r="O350" s="184">
        <f aca="true" t="shared" si="269" ref="O350:O360">G350/I350*J350</f>
        <v>0</v>
      </c>
      <c r="P350" s="184">
        <f aca="true" t="shared" si="270" ref="P350:P360">E350*0.18/I350*J350</f>
        <v>0</v>
      </c>
      <c r="Q350" s="184">
        <f aca="true" t="shared" si="271" ref="Q350:Q360">H350/I350*J350</f>
        <v>0</v>
      </c>
      <c r="R350" s="297"/>
      <c r="S350" s="264"/>
    </row>
    <row r="351" spans="1:19" ht="15">
      <c r="A351" s="284" t="s">
        <v>183</v>
      </c>
      <c r="B351" s="220"/>
      <c r="C351" s="285">
        <f t="shared" si="264"/>
        <v>0</v>
      </c>
      <c r="D351" s="285">
        <f t="shared" si="264"/>
        <v>0</v>
      </c>
      <c r="E351" s="184">
        <f t="shared" si="262"/>
        <v>0</v>
      </c>
      <c r="F351" s="285">
        <f t="shared" si="265"/>
        <v>0</v>
      </c>
      <c r="G351" s="184">
        <f t="shared" si="263"/>
        <v>0</v>
      </c>
      <c r="H351" s="285">
        <f t="shared" si="266"/>
        <v>0</v>
      </c>
      <c r="I351" s="310">
        <f t="shared" si="267"/>
        <v>18</v>
      </c>
      <c r="J351" s="310">
        <f t="shared" si="268"/>
        <v>18</v>
      </c>
      <c r="K351" s="259"/>
      <c r="L351" s="259"/>
      <c r="M351" s="259"/>
      <c r="N351" s="264"/>
      <c r="O351" s="184">
        <f t="shared" si="269"/>
        <v>0</v>
      </c>
      <c r="P351" s="184">
        <f t="shared" si="270"/>
        <v>0</v>
      </c>
      <c r="Q351" s="184">
        <f t="shared" si="271"/>
        <v>0</v>
      </c>
      <c r="R351" s="297"/>
      <c r="S351" s="264"/>
    </row>
    <row r="352" spans="1:19" ht="15">
      <c r="A352" s="284" t="s">
        <v>184</v>
      </c>
      <c r="B352" s="220"/>
      <c r="C352" s="285">
        <f t="shared" si="264"/>
        <v>0</v>
      </c>
      <c r="D352" s="285">
        <f t="shared" si="264"/>
        <v>0</v>
      </c>
      <c r="E352" s="184">
        <f t="shared" si="262"/>
        <v>0</v>
      </c>
      <c r="F352" s="285">
        <f t="shared" si="265"/>
        <v>0</v>
      </c>
      <c r="G352" s="184">
        <f t="shared" si="263"/>
        <v>0</v>
      </c>
      <c r="H352" s="285">
        <f t="shared" si="266"/>
        <v>0</v>
      </c>
      <c r="I352" s="310">
        <f t="shared" si="267"/>
        <v>18</v>
      </c>
      <c r="J352" s="310">
        <f t="shared" si="268"/>
        <v>18</v>
      </c>
      <c r="K352" s="259"/>
      <c r="L352" s="259"/>
      <c r="M352" s="259"/>
      <c r="N352" s="264"/>
      <c r="O352" s="184">
        <f t="shared" si="269"/>
        <v>0</v>
      </c>
      <c r="P352" s="184">
        <f t="shared" si="270"/>
        <v>0</v>
      </c>
      <c r="Q352" s="184">
        <f t="shared" si="271"/>
        <v>0</v>
      </c>
      <c r="R352" s="297"/>
      <c r="S352" s="264"/>
    </row>
    <row r="353" spans="1:19" ht="15">
      <c r="A353" s="284" t="s">
        <v>185</v>
      </c>
      <c r="B353" s="220"/>
      <c r="C353" s="285">
        <f t="shared" si="264"/>
        <v>0</v>
      </c>
      <c r="D353" s="285">
        <f t="shared" si="264"/>
        <v>0</v>
      </c>
      <c r="E353" s="184">
        <f t="shared" si="262"/>
        <v>0</v>
      </c>
      <c r="F353" s="285">
        <f t="shared" si="265"/>
        <v>0</v>
      </c>
      <c r="G353" s="184">
        <f t="shared" si="263"/>
        <v>0</v>
      </c>
      <c r="H353" s="285">
        <f t="shared" si="266"/>
        <v>0</v>
      </c>
      <c r="I353" s="310">
        <f t="shared" si="267"/>
        <v>18</v>
      </c>
      <c r="J353" s="310">
        <f t="shared" si="268"/>
        <v>18</v>
      </c>
      <c r="K353" s="259"/>
      <c r="L353" s="259"/>
      <c r="M353" s="259"/>
      <c r="N353" s="264"/>
      <c r="O353" s="184">
        <f t="shared" si="269"/>
        <v>0</v>
      </c>
      <c r="P353" s="184">
        <f t="shared" si="270"/>
        <v>0</v>
      </c>
      <c r="Q353" s="184">
        <f t="shared" si="271"/>
        <v>0</v>
      </c>
      <c r="R353" s="297"/>
      <c r="S353" s="264"/>
    </row>
    <row r="354" spans="1:19" ht="15">
      <c r="A354" s="284" t="s">
        <v>186</v>
      </c>
      <c r="B354" s="220"/>
      <c r="C354" s="285">
        <f t="shared" si="264"/>
        <v>0</v>
      </c>
      <c r="D354" s="285">
        <f t="shared" si="264"/>
        <v>0</v>
      </c>
      <c r="E354" s="184">
        <f t="shared" si="262"/>
        <v>0</v>
      </c>
      <c r="F354" s="285">
        <f t="shared" si="265"/>
        <v>0</v>
      </c>
      <c r="G354" s="184">
        <f t="shared" si="263"/>
        <v>0</v>
      </c>
      <c r="H354" s="285">
        <f t="shared" si="266"/>
        <v>0</v>
      </c>
      <c r="I354" s="310">
        <f t="shared" si="267"/>
        <v>18</v>
      </c>
      <c r="J354" s="310">
        <f t="shared" si="268"/>
        <v>18</v>
      </c>
      <c r="K354" s="259"/>
      <c r="L354" s="259"/>
      <c r="M354" s="259"/>
      <c r="N354" s="264"/>
      <c r="O354" s="184">
        <f t="shared" si="269"/>
        <v>0</v>
      </c>
      <c r="P354" s="184">
        <f t="shared" si="270"/>
        <v>0</v>
      </c>
      <c r="Q354" s="184">
        <f t="shared" si="271"/>
        <v>0</v>
      </c>
      <c r="R354" s="297"/>
      <c r="S354" s="264"/>
    </row>
    <row r="355" spans="1:19" ht="15">
      <c r="A355" s="284" t="s">
        <v>187</v>
      </c>
      <c r="B355" s="220"/>
      <c r="C355" s="285">
        <f t="shared" si="264"/>
        <v>0</v>
      </c>
      <c r="D355" s="285">
        <f t="shared" si="264"/>
        <v>0</v>
      </c>
      <c r="E355" s="184">
        <f t="shared" si="262"/>
        <v>0</v>
      </c>
      <c r="F355" s="285">
        <f t="shared" si="265"/>
        <v>0</v>
      </c>
      <c r="G355" s="184">
        <f t="shared" si="263"/>
        <v>0</v>
      </c>
      <c r="H355" s="285">
        <f t="shared" si="266"/>
        <v>0</v>
      </c>
      <c r="I355" s="310">
        <f t="shared" si="267"/>
        <v>18</v>
      </c>
      <c r="J355" s="310">
        <f t="shared" si="268"/>
        <v>18</v>
      </c>
      <c r="K355" s="259"/>
      <c r="L355" s="259"/>
      <c r="M355" s="259"/>
      <c r="N355" s="264"/>
      <c r="O355" s="184">
        <f t="shared" si="269"/>
        <v>0</v>
      </c>
      <c r="P355" s="184">
        <f t="shared" si="270"/>
        <v>0</v>
      </c>
      <c r="Q355" s="184">
        <f t="shared" si="271"/>
        <v>0</v>
      </c>
      <c r="R355" s="297"/>
      <c r="S355" s="264"/>
    </row>
    <row r="356" spans="1:19" ht="15">
      <c r="A356" s="284" t="s">
        <v>188</v>
      </c>
      <c r="B356" s="220"/>
      <c r="C356" s="285">
        <f t="shared" si="264"/>
        <v>0</v>
      </c>
      <c r="D356" s="285">
        <f t="shared" si="264"/>
        <v>0</v>
      </c>
      <c r="E356" s="184">
        <f t="shared" si="262"/>
        <v>0</v>
      </c>
      <c r="F356" s="285">
        <f t="shared" si="265"/>
        <v>0</v>
      </c>
      <c r="G356" s="184">
        <f t="shared" si="263"/>
        <v>0</v>
      </c>
      <c r="H356" s="285">
        <f t="shared" si="266"/>
        <v>0</v>
      </c>
      <c r="I356" s="310">
        <f t="shared" si="267"/>
        <v>18</v>
      </c>
      <c r="J356" s="310">
        <f t="shared" si="268"/>
        <v>18</v>
      </c>
      <c r="K356" s="259"/>
      <c r="L356" s="259"/>
      <c r="M356" s="259"/>
      <c r="N356" s="264"/>
      <c r="O356" s="184">
        <f t="shared" si="269"/>
        <v>0</v>
      </c>
      <c r="P356" s="184">
        <f t="shared" si="270"/>
        <v>0</v>
      </c>
      <c r="Q356" s="184">
        <f t="shared" si="271"/>
        <v>0</v>
      </c>
      <c r="R356" s="297"/>
      <c r="S356" s="264"/>
    </row>
    <row r="357" spans="1:19" ht="15">
      <c r="A357" s="284" t="s">
        <v>189</v>
      </c>
      <c r="B357" s="220"/>
      <c r="C357" s="285">
        <f t="shared" si="264"/>
        <v>0</v>
      </c>
      <c r="D357" s="285">
        <f t="shared" si="264"/>
        <v>0</v>
      </c>
      <c r="E357" s="184">
        <f t="shared" si="262"/>
        <v>0</v>
      </c>
      <c r="F357" s="285">
        <f t="shared" si="265"/>
        <v>0</v>
      </c>
      <c r="G357" s="184">
        <f t="shared" si="263"/>
        <v>0</v>
      </c>
      <c r="H357" s="285">
        <f t="shared" si="266"/>
        <v>0</v>
      </c>
      <c r="I357" s="310">
        <f t="shared" si="267"/>
        <v>18</v>
      </c>
      <c r="J357" s="310">
        <f t="shared" si="268"/>
        <v>18</v>
      </c>
      <c r="K357" s="259"/>
      <c r="L357" s="259"/>
      <c r="M357" s="259"/>
      <c r="N357" s="264"/>
      <c r="O357" s="184">
        <f t="shared" si="269"/>
        <v>0</v>
      </c>
      <c r="P357" s="184">
        <f t="shared" si="270"/>
        <v>0</v>
      </c>
      <c r="Q357" s="184">
        <f t="shared" si="271"/>
        <v>0</v>
      </c>
      <c r="R357" s="297"/>
      <c r="S357" s="264"/>
    </row>
    <row r="358" spans="1:19" ht="15">
      <c r="A358" s="284" t="s">
        <v>190</v>
      </c>
      <c r="B358" s="220"/>
      <c r="C358" s="285">
        <f t="shared" si="264"/>
        <v>0</v>
      </c>
      <c r="D358" s="285">
        <f t="shared" si="264"/>
        <v>0</v>
      </c>
      <c r="E358" s="184">
        <f t="shared" si="262"/>
        <v>0</v>
      </c>
      <c r="F358" s="285">
        <f>F357</f>
        <v>0</v>
      </c>
      <c r="G358" s="184">
        <f t="shared" si="263"/>
        <v>0</v>
      </c>
      <c r="H358" s="285">
        <f t="shared" si="266"/>
        <v>0</v>
      </c>
      <c r="I358" s="310">
        <f t="shared" si="267"/>
        <v>18</v>
      </c>
      <c r="J358" s="310">
        <f t="shared" si="268"/>
        <v>18</v>
      </c>
      <c r="K358" s="259"/>
      <c r="L358" s="259"/>
      <c r="M358" s="259"/>
      <c r="N358" s="264"/>
      <c r="O358" s="184">
        <f t="shared" si="269"/>
        <v>0</v>
      </c>
      <c r="P358" s="184">
        <f t="shared" si="270"/>
        <v>0</v>
      </c>
      <c r="Q358" s="184">
        <f t="shared" si="271"/>
        <v>0</v>
      </c>
      <c r="R358" s="297"/>
      <c r="S358" s="264"/>
    </row>
    <row r="359" spans="1:19" ht="15">
      <c r="A359" s="284" t="s">
        <v>191</v>
      </c>
      <c r="B359" s="220"/>
      <c r="C359" s="285">
        <f t="shared" si="264"/>
        <v>0</v>
      </c>
      <c r="D359" s="285">
        <f t="shared" si="264"/>
        <v>0</v>
      </c>
      <c r="E359" s="184">
        <f t="shared" si="262"/>
        <v>0</v>
      </c>
      <c r="F359" s="285">
        <f>F358</f>
        <v>0</v>
      </c>
      <c r="G359" s="184">
        <f t="shared" si="263"/>
        <v>0</v>
      </c>
      <c r="H359" s="285">
        <f t="shared" si="266"/>
        <v>0</v>
      </c>
      <c r="I359" s="310">
        <f t="shared" si="267"/>
        <v>18</v>
      </c>
      <c r="J359" s="310">
        <f t="shared" si="268"/>
        <v>18</v>
      </c>
      <c r="K359" s="259"/>
      <c r="L359" s="259"/>
      <c r="M359" s="259"/>
      <c r="N359" s="264"/>
      <c r="O359" s="184">
        <f t="shared" si="269"/>
        <v>0</v>
      </c>
      <c r="P359" s="184">
        <f t="shared" si="270"/>
        <v>0</v>
      </c>
      <c r="Q359" s="184">
        <f t="shared" si="271"/>
        <v>0</v>
      </c>
      <c r="R359" s="297"/>
      <c r="S359" s="264"/>
    </row>
    <row r="360" spans="1:19" ht="15">
      <c r="A360" s="284" t="s">
        <v>192</v>
      </c>
      <c r="B360" s="220"/>
      <c r="C360" s="285">
        <f t="shared" si="264"/>
        <v>0</v>
      </c>
      <c r="D360" s="285">
        <f t="shared" si="264"/>
        <v>0</v>
      </c>
      <c r="E360" s="184">
        <f t="shared" si="262"/>
        <v>0</v>
      </c>
      <c r="F360" s="285">
        <f>F359</f>
        <v>0</v>
      </c>
      <c r="G360" s="184">
        <f t="shared" si="263"/>
        <v>0</v>
      </c>
      <c r="H360" s="285">
        <f t="shared" si="266"/>
        <v>0</v>
      </c>
      <c r="I360" s="310">
        <f t="shared" si="267"/>
        <v>18</v>
      </c>
      <c r="J360" s="310">
        <f t="shared" si="268"/>
        <v>18</v>
      </c>
      <c r="K360" s="259"/>
      <c r="L360" s="259"/>
      <c r="M360" s="259"/>
      <c r="N360" s="264"/>
      <c r="O360" s="184">
        <f t="shared" si="269"/>
        <v>0</v>
      </c>
      <c r="P360" s="184">
        <f t="shared" si="270"/>
        <v>0</v>
      </c>
      <c r="Q360" s="184">
        <f t="shared" si="271"/>
        <v>0</v>
      </c>
      <c r="R360" s="297"/>
      <c r="S360" s="264"/>
    </row>
    <row r="361" spans="1:19" ht="15">
      <c r="A361" s="282">
        <f>A348+1</f>
        <v>2020</v>
      </c>
      <c r="B361" s="28"/>
      <c r="C361" s="28"/>
      <c r="D361" s="28"/>
      <c r="E361" s="306">
        <f>SUM(E362:E373)</f>
        <v>0</v>
      </c>
      <c r="F361" s="287"/>
      <c r="G361" s="283">
        <f>SUM(G362:G373)</f>
        <v>0</v>
      </c>
      <c r="H361" s="309">
        <f>SUM(H362:H373)</f>
        <v>0</v>
      </c>
      <c r="I361" s="311">
        <f>SUM(I362:I373)</f>
        <v>216</v>
      </c>
      <c r="J361" s="311">
        <f>SUM(J362:J373)</f>
        <v>216</v>
      </c>
      <c r="K361" s="259"/>
      <c r="L361" s="259"/>
      <c r="M361" s="259"/>
      <c r="N361" s="264"/>
      <c r="O361" s="136">
        <f>SUM(O362:O373)</f>
        <v>0</v>
      </c>
      <c r="P361" s="136">
        <f>SUM(P362:P373)</f>
        <v>0</v>
      </c>
      <c r="Q361" s="136">
        <f>SUM(Q362:Q373)</f>
        <v>0</v>
      </c>
      <c r="R361" s="296">
        <f>IF($A$1=A361,(J361/I361)/12*8,J361/I361)</f>
        <v>1</v>
      </c>
      <c r="S361" s="264"/>
    </row>
    <row r="362" spans="1:19" ht="15">
      <c r="A362" s="284" t="s">
        <v>181</v>
      </c>
      <c r="B362" s="220"/>
      <c r="C362" s="285">
        <f>C360</f>
        <v>0</v>
      </c>
      <c r="D362" s="285">
        <f>D360</f>
        <v>0</v>
      </c>
      <c r="E362" s="184">
        <f aca="true" t="shared" si="272" ref="E362:E373">C362+D362</f>
        <v>0</v>
      </c>
      <c r="F362" s="285">
        <f>F360</f>
        <v>0</v>
      </c>
      <c r="G362" s="184">
        <f aca="true" t="shared" si="273" ref="G362:G373">SUM(E362:F362)</f>
        <v>0</v>
      </c>
      <c r="H362" s="285">
        <f>H360</f>
        <v>0</v>
      </c>
      <c r="I362" s="310">
        <f>I360</f>
        <v>18</v>
      </c>
      <c r="J362" s="310">
        <f>J360</f>
        <v>18</v>
      </c>
      <c r="K362" s="259"/>
      <c r="L362" s="259"/>
      <c r="M362" s="259"/>
      <c r="N362" s="264"/>
      <c r="O362" s="184">
        <f>G362/I362*J362</f>
        <v>0</v>
      </c>
      <c r="P362" s="184">
        <f>E362*0.18/I362*J362</f>
        <v>0</v>
      </c>
      <c r="Q362" s="184">
        <f>H362/I362*J362</f>
        <v>0</v>
      </c>
      <c r="R362" s="297"/>
      <c r="S362" s="264"/>
    </row>
    <row r="363" spans="1:19" ht="15">
      <c r="A363" s="284" t="s">
        <v>182</v>
      </c>
      <c r="B363" s="220"/>
      <c r="C363" s="285">
        <f aca="true" t="shared" si="274" ref="C363:D373">C362</f>
        <v>0</v>
      </c>
      <c r="D363" s="285">
        <f t="shared" si="274"/>
        <v>0</v>
      </c>
      <c r="E363" s="184">
        <f t="shared" si="272"/>
        <v>0</v>
      </c>
      <c r="F363" s="285">
        <f aca="true" t="shared" si="275" ref="F363:F370">F362</f>
        <v>0</v>
      </c>
      <c r="G363" s="184">
        <f t="shared" si="273"/>
        <v>0</v>
      </c>
      <c r="H363" s="285">
        <f aca="true" t="shared" si="276" ref="H363:H373">H362</f>
        <v>0</v>
      </c>
      <c r="I363" s="310">
        <f aca="true" t="shared" si="277" ref="I363:I373">I362</f>
        <v>18</v>
      </c>
      <c r="J363" s="310">
        <f aca="true" t="shared" si="278" ref="J363:J373">J362</f>
        <v>18</v>
      </c>
      <c r="K363" s="259"/>
      <c r="L363" s="259"/>
      <c r="M363" s="259"/>
      <c r="N363" s="264"/>
      <c r="O363" s="184">
        <f aca="true" t="shared" si="279" ref="O363:O373">G363/I363*J363</f>
        <v>0</v>
      </c>
      <c r="P363" s="184">
        <f aca="true" t="shared" si="280" ref="P363:P373">E363*0.18/I363*J363</f>
        <v>0</v>
      </c>
      <c r="Q363" s="184">
        <f aca="true" t="shared" si="281" ref="Q363:Q373">H363/I363*J363</f>
        <v>0</v>
      </c>
      <c r="R363" s="297"/>
      <c r="S363" s="264"/>
    </row>
    <row r="364" spans="1:19" ht="15">
      <c r="A364" s="284" t="s">
        <v>183</v>
      </c>
      <c r="B364" s="220"/>
      <c r="C364" s="285">
        <f t="shared" si="274"/>
        <v>0</v>
      </c>
      <c r="D364" s="285">
        <f t="shared" si="274"/>
        <v>0</v>
      </c>
      <c r="E364" s="184">
        <f t="shared" si="272"/>
        <v>0</v>
      </c>
      <c r="F364" s="285">
        <f t="shared" si="275"/>
        <v>0</v>
      </c>
      <c r="G364" s="184">
        <f t="shared" si="273"/>
        <v>0</v>
      </c>
      <c r="H364" s="285">
        <f t="shared" si="276"/>
        <v>0</v>
      </c>
      <c r="I364" s="310">
        <f t="shared" si="277"/>
        <v>18</v>
      </c>
      <c r="J364" s="310">
        <f t="shared" si="278"/>
        <v>18</v>
      </c>
      <c r="K364" s="259"/>
      <c r="L364" s="259"/>
      <c r="M364" s="259"/>
      <c r="N364" s="264"/>
      <c r="O364" s="184">
        <f t="shared" si="279"/>
        <v>0</v>
      </c>
      <c r="P364" s="184">
        <f t="shared" si="280"/>
        <v>0</v>
      </c>
      <c r="Q364" s="184">
        <f t="shared" si="281"/>
        <v>0</v>
      </c>
      <c r="R364" s="297"/>
      <c r="S364" s="264"/>
    </row>
    <row r="365" spans="1:19" ht="15">
      <c r="A365" s="284" t="s">
        <v>184</v>
      </c>
      <c r="B365" s="220"/>
      <c r="C365" s="285">
        <f t="shared" si="274"/>
        <v>0</v>
      </c>
      <c r="D365" s="285">
        <f t="shared" si="274"/>
        <v>0</v>
      </c>
      <c r="E365" s="184">
        <f t="shared" si="272"/>
        <v>0</v>
      </c>
      <c r="F365" s="285">
        <f t="shared" si="275"/>
        <v>0</v>
      </c>
      <c r="G365" s="184">
        <f t="shared" si="273"/>
        <v>0</v>
      </c>
      <c r="H365" s="285">
        <f t="shared" si="276"/>
        <v>0</v>
      </c>
      <c r="I365" s="310">
        <f t="shared" si="277"/>
        <v>18</v>
      </c>
      <c r="J365" s="310">
        <f t="shared" si="278"/>
        <v>18</v>
      </c>
      <c r="K365" s="259"/>
      <c r="L365" s="259"/>
      <c r="M365" s="259"/>
      <c r="N365" s="264"/>
      <c r="O365" s="184">
        <f t="shared" si="279"/>
        <v>0</v>
      </c>
      <c r="P365" s="184">
        <f t="shared" si="280"/>
        <v>0</v>
      </c>
      <c r="Q365" s="184">
        <f t="shared" si="281"/>
        <v>0</v>
      </c>
      <c r="R365" s="297"/>
      <c r="S365" s="264"/>
    </row>
    <row r="366" spans="1:19" ht="15">
      <c r="A366" s="284" t="s">
        <v>185</v>
      </c>
      <c r="B366" s="220"/>
      <c r="C366" s="285">
        <f t="shared" si="274"/>
        <v>0</v>
      </c>
      <c r="D366" s="285">
        <f t="shared" si="274"/>
        <v>0</v>
      </c>
      <c r="E366" s="184">
        <f t="shared" si="272"/>
        <v>0</v>
      </c>
      <c r="F366" s="285">
        <f t="shared" si="275"/>
        <v>0</v>
      </c>
      <c r="G366" s="184">
        <f t="shared" si="273"/>
        <v>0</v>
      </c>
      <c r="H366" s="285">
        <f t="shared" si="276"/>
        <v>0</v>
      </c>
      <c r="I366" s="310">
        <f t="shared" si="277"/>
        <v>18</v>
      </c>
      <c r="J366" s="310">
        <f t="shared" si="278"/>
        <v>18</v>
      </c>
      <c r="K366" s="259"/>
      <c r="L366" s="259"/>
      <c r="M366" s="259"/>
      <c r="N366" s="264"/>
      <c r="O366" s="184">
        <f t="shared" si="279"/>
        <v>0</v>
      </c>
      <c r="P366" s="184">
        <f t="shared" si="280"/>
        <v>0</v>
      </c>
      <c r="Q366" s="184">
        <f t="shared" si="281"/>
        <v>0</v>
      </c>
      <c r="R366" s="297"/>
      <c r="S366" s="264"/>
    </row>
    <row r="367" spans="1:19" ht="15">
      <c r="A367" s="284" t="s">
        <v>186</v>
      </c>
      <c r="B367" s="220"/>
      <c r="C367" s="285">
        <f t="shared" si="274"/>
        <v>0</v>
      </c>
      <c r="D367" s="285">
        <f t="shared" si="274"/>
        <v>0</v>
      </c>
      <c r="E367" s="184">
        <f t="shared" si="272"/>
        <v>0</v>
      </c>
      <c r="F367" s="285">
        <f t="shared" si="275"/>
        <v>0</v>
      </c>
      <c r="G367" s="184">
        <f t="shared" si="273"/>
        <v>0</v>
      </c>
      <c r="H367" s="285">
        <f t="shared" si="276"/>
        <v>0</v>
      </c>
      <c r="I367" s="310">
        <f t="shared" si="277"/>
        <v>18</v>
      </c>
      <c r="J367" s="310">
        <f t="shared" si="278"/>
        <v>18</v>
      </c>
      <c r="K367" s="259"/>
      <c r="L367" s="259"/>
      <c r="M367" s="259"/>
      <c r="N367" s="264"/>
      <c r="O367" s="184">
        <f t="shared" si="279"/>
        <v>0</v>
      </c>
      <c r="P367" s="184">
        <f t="shared" si="280"/>
        <v>0</v>
      </c>
      <c r="Q367" s="184">
        <f t="shared" si="281"/>
        <v>0</v>
      </c>
      <c r="R367" s="297"/>
      <c r="S367" s="264"/>
    </row>
    <row r="368" spans="1:19" ht="15">
      <c r="A368" s="284" t="s">
        <v>187</v>
      </c>
      <c r="B368" s="220"/>
      <c r="C368" s="285">
        <f t="shared" si="274"/>
        <v>0</v>
      </c>
      <c r="D368" s="285">
        <f t="shared" si="274"/>
        <v>0</v>
      </c>
      <c r="E368" s="184">
        <f t="shared" si="272"/>
        <v>0</v>
      </c>
      <c r="F368" s="285">
        <f t="shared" si="275"/>
        <v>0</v>
      </c>
      <c r="G368" s="184">
        <f t="shared" si="273"/>
        <v>0</v>
      </c>
      <c r="H368" s="285">
        <f t="shared" si="276"/>
        <v>0</v>
      </c>
      <c r="I368" s="310">
        <f t="shared" si="277"/>
        <v>18</v>
      </c>
      <c r="J368" s="310">
        <f t="shared" si="278"/>
        <v>18</v>
      </c>
      <c r="K368" s="259"/>
      <c r="L368" s="259"/>
      <c r="M368" s="259"/>
      <c r="N368" s="264"/>
      <c r="O368" s="184">
        <f t="shared" si="279"/>
        <v>0</v>
      </c>
      <c r="P368" s="184">
        <f t="shared" si="280"/>
        <v>0</v>
      </c>
      <c r="Q368" s="184">
        <f t="shared" si="281"/>
        <v>0</v>
      </c>
      <c r="R368" s="297"/>
      <c r="S368" s="264"/>
    </row>
    <row r="369" spans="1:19" ht="15">
      <c r="A369" s="284" t="s">
        <v>188</v>
      </c>
      <c r="B369" s="220"/>
      <c r="C369" s="285">
        <f t="shared" si="274"/>
        <v>0</v>
      </c>
      <c r="D369" s="285">
        <f t="shared" si="274"/>
        <v>0</v>
      </c>
      <c r="E369" s="184">
        <f t="shared" si="272"/>
        <v>0</v>
      </c>
      <c r="F369" s="285">
        <f t="shared" si="275"/>
        <v>0</v>
      </c>
      <c r="G369" s="184">
        <f t="shared" si="273"/>
        <v>0</v>
      </c>
      <c r="H369" s="285">
        <f t="shared" si="276"/>
        <v>0</v>
      </c>
      <c r="I369" s="310">
        <f t="shared" si="277"/>
        <v>18</v>
      </c>
      <c r="J369" s="310">
        <f t="shared" si="278"/>
        <v>18</v>
      </c>
      <c r="K369" s="259"/>
      <c r="L369" s="259"/>
      <c r="M369" s="259"/>
      <c r="N369" s="264"/>
      <c r="O369" s="184">
        <f t="shared" si="279"/>
        <v>0</v>
      </c>
      <c r="P369" s="184">
        <f t="shared" si="280"/>
        <v>0</v>
      </c>
      <c r="Q369" s="184">
        <f t="shared" si="281"/>
        <v>0</v>
      </c>
      <c r="R369" s="297"/>
      <c r="S369" s="264"/>
    </row>
    <row r="370" spans="1:19" ht="15">
      <c r="A370" s="284" t="s">
        <v>189</v>
      </c>
      <c r="B370" s="220"/>
      <c r="C370" s="285">
        <f t="shared" si="274"/>
        <v>0</v>
      </c>
      <c r="D370" s="285">
        <f t="shared" si="274"/>
        <v>0</v>
      </c>
      <c r="E370" s="184">
        <f t="shared" si="272"/>
        <v>0</v>
      </c>
      <c r="F370" s="285">
        <f t="shared" si="275"/>
        <v>0</v>
      </c>
      <c r="G370" s="184">
        <f t="shared" si="273"/>
        <v>0</v>
      </c>
      <c r="H370" s="285">
        <f t="shared" si="276"/>
        <v>0</v>
      </c>
      <c r="I370" s="310">
        <f t="shared" si="277"/>
        <v>18</v>
      </c>
      <c r="J370" s="310">
        <f t="shared" si="278"/>
        <v>18</v>
      </c>
      <c r="K370" s="259"/>
      <c r="L370" s="259"/>
      <c r="M370" s="259"/>
      <c r="N370" s="264"/>
      <c r="O370" s="184">
        <f t="shared" si="279"/>
        <v>0</v>
      </c>
      <c r="P370" s="184">
        <f t="shared" si="280"/>
        <v>0</v>
      </c>
      <c r="Q370" s="184">
        <f t="shared" si="281"/>
        <v>0</v>
      </c>
      <c r="R370" s="297"/>
      <c r="S370" s="264"/>
    </row>
    <row r="371" spans="1:19" ht="15">
      <c r="A371" s="284" t="s">
        <v>190</v>
      </c>
      <c r="B371" s="220"/>
      <c r="C371" s="285">
        <f t="shared" si="274"/>
        <v>0</v>
      </c>
      <c r="D371" s="285">
        <f t="shared" si="274"/>
        <v>0</v>
      </c>
      <c r="E371" s="184">
        <f t="shared" si="272"/>
        <v>0</v>
      </c>
      <c r="F371" s="285">
        <f>F370</f>
        <v>0</v>
      </c>
      <c r="G371" s="184">
        <f t="shared" si="273"/>
        <v>0</v>
      </c>
      <c r="H371" s="285">
        <f t="shared" si="276"/>
        <v>0</v>
      </c>
      <c r="I371" s="310">
        <f t="shared" si="277"/>
        <v>18</v>
      </c>
      <c r="J371" s="310">
        <f t="shared" si="278"/>
        <v>18</v>
      </c>
      <c r="K371" s="259"/>
      <c r="L371" s="259"/>
      <c r="M371" s="259"/>
      <c r="N371" s="264"/>
      <c r="O371" s="184">
        <f t="shared" si="279"/>
        <v>0</v>
      </c>
      <c r="P371" s="184">
        <f t="shared" si="280"/>
        <v>0</v>
      </c>
      <c r="Q371" s="184">
        <f t="shared" si="281"/>
        <v>0</v>
      </c>
      <c r="R371" s="297"/>
      <c r="S371" s="264"/>
    </row>
    <row r="372" spans="1:19" ht="15">
      <c r="A372" s="284" t="s">
        <v>191</v>
      </c>
      <c r="B372" s="220"/>
      <c r="C372" s="285">
        <f t="shared" si="274"/>
        <v>0</v>
      </c>
      <c r="D372" s="285">
        <f t="shared" si="274"/>
        <v>0</v>
      </c>
      <c r="E372" s="184">
        <f t="shared" si="272"/>
        <v>0</v>
      </c>
      <c r="F372" s="285">
        <f>F371</f>
        <v>0</v>
      </c>
      <c r="G372" s="184">
        <f t="shared" si="273"/>
        <v>0</v>
      </c>
      <c r="H372" s="285">
        <f t="shared" si="276"/>
        <v>0</v>
      </c>
      <c r="I372" s="310">
        <f t="shared" si="277"/>
        <v>18</v>
      </c>
      <c r="J372" s="310">
        <f t="shared" si="278"/>
        <v>18</v>
      </c>
      <c r="K372" s="259"/>
      <c r="L372" s="259"/>
      <c r="M372" s="259"/>
      <c r="N372" s="264"/>
      <c r="O372" s="184">
        <f t="shared" si="279"/>
        <v>0</v>
      </c>
      <c r="P372" s="184">
        <f t="shared" si="280"/>
        <v>0</v>
      </c>
      <c r="Q372" s="184">
        <f t="shared" si="281"/>
        <v>0</v>
      </c>
      <c r="R372" s="297"/>
      <c r="S372" s="264"/>
    </row>
    <row r="373" spans="1:19" ht="15">
      <c r="A373" s="284" t="s">
        <v>192</v>
      </c>
      <c r="B373" s="220"/>
      <c r="C373" s="285">
        <f t="shared" si="274"/>
        <v>0</v>
      </c>
      <c r="D373" s="285">
        <f t="shared" si="274"/>
        <v>0</v>
      </c>
      <c r="E373" s="184">
        <f t="shared" si="272"/>
        <v>0</v>
      </c>
      <c r="F373" s="285">
        <f>F372</f>
        <v>0</v>
      </c>
      <c r="G373" s="184">
        <f t="shared" si="273"/>
        <v>0</v>
      </c>
      <c r="H373" s="285">
        <f t="shared" si="276"/>
        <v>0</v>
      </c>
      <c r="I373" s="310">
        <f t="shared" si="277"/>
        <v>18</v>
      </c>
      <c r="J373" s="310">
        <f t="shared" si="278"/>
        <v>18</v>
      </c>
      <c r="K373" s="259"/>
      <c r="L373" s="259"/>
      <c r="M373" s="259"/>
      <c r="N373" s="264"/>
      <c r="O373" s="184">
        <f t="shared" si="279"/>
        <v>0</v>
      </c>
      <c r="P373" s="184">
        <f t="shared" si="280"/>
        <v>0</v>
      </c>
      <c r="Q373" s="184">
        <f t="shared" si="281"/>
        <v>0</v>
      </c>
      <c r="R373" s="297"/>
      <c r="S373" s="264"/>
    </row>
    <row r="374" spans="1:19" ht="15">
      <c r="A374" s="264"/>
      <c r="B374" s="264"/>
      <c r="C374" s="264"/>
      <c r="D374" s="264"/>
      <c r="E374" s="264"/>
      <c r="F374" s="264"/>
      <c r="G374" s="264"/>
      <c r="H374" s="264"/>
      <c r="I374" s="264"/>
      <c r="J374" s="264"/>
      <c r="K374" s="264"/>
      <c r="L374" s="264"/>
      <c r="M374" s="264"/>
      <c r="N374" s="264"/>
      <c r="O374" s="264"/>
      <c r="P374" s="264"/>
      <c r="Q374" s="264"/>
      <c r="R374" s="264"/>
      <c r="S374" s="264"/>
    </row>
  </sheetData>
  <sheetProtection password="D8FD" sheet="1" objects="1" scenarios="1"/>
  <mergeCells count="1">
    <mergeCell ref="B7:D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K3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7.421875" style="0" customWidth="1"/>
    <col min="2" max="2" width="13.28125" style="3" customWidth="1"/>
    <col min="3" max="3" width="14.28125" style="0" customWidth="1"/>
    <col min="4" max="7" width="6.7109375" style="0" customWidth="1"/>
    <col min="8" max="8" width="53.8515625" style="0" customWidth="1"/>
    <col min="9" max="9" width="2.8515625" style="0" customWidth="1"/>
    <col min="10" max="10" width="10.28125" style="0" customWidth="1"/>
    <col min="11" max="11" width="11.8515625" style="0" customWidth="1"/>
    <col min="12" max="12" width="12.8515625" style="0" customWidth="1"/>
    <col min="13" max="13" width="2.140625" style="0" customWidth="1"/>
    <col min="14" max="14" width="13.8515625" style="0" customWidth="1"/>
    <col min="15" max="15" width="11.57421875" style="0" customWidth="1"/>
    <col min="16" max="16" width="9.28125" style="0" bestFit="1" customWidth="1"/>
    <col min="17" max="17" width="10.28125" style="0" bestFit="1" customWidth="1"/>
    <col min="18" max="19" width="5.8515625" style="0" customWidth="1"/>
    <col min="20" max="20" width="9.28125" style="0" customWidth="1"/>
    <col min="21" max="21" width="1.7109375" style="0" customWidth="1"/>
    <col min="22" max="23" width="5.8515625" style="0" customWidth="1"/>
    <col min="24" max="24" width="9.28125" style="0" customWidth="1"/>
    <col min="25" max="25" width="1.7109375" style="0" customWidth="1"/>
    <col min="26" max="27" width="5.8515625" style="0" customWidth="1"/>
    <col min="28" max="29" width="9.28125" style="0" customWidth="1"/>
    <col min="31" max="31" width="19.7109375" style="0" customWidth="1"/>
    <col min="32" max="38" width="20.7109375" style="0" customWidth="1"/>
  </cols>
  <sheetData>
    <row r="1" spans="1:17" ht="32.25">
      <c r="A1" s="121" t="s">
        <v>60</v>
      </c>
      <c r="B1" s="6"/>
      <c r="C1" s="7"/>
      <c r="D1" s="7"/>
      <c r="E1" s="7"/>
      <c r="F1" s="7"/>
      <c r="G1" s="7"/>
      <c r="H1" s="27"/>
      <c r="I1" s="27"/>
      <c r="J1" s="21"/>
      <c r="K1" s="21"/>
      <c r="L1" s="18"/>
      <c r="M1" s="18"/>
      <c r="N1" s="18"/>
      <c r="O1" s="18"/>
      <c r="P1" s="18"/>
      <c r="Q1" s="18"/>
    </row>
    <row r="2" spans="1:37" s="2" customFormat="1" ht="12.75">
      <c r="A2" s="37" t="s">
        <v>59</v>
      </c>
      <c r="B2" s="9"/>
      <c r="C2" s="5"/>
      <c r="D2" s="5"/>
      <c r="E2" s="5"/>
      <c r="F2" s="5"/>
      <c r="G2" s="5"/>
      <c r="H2" s="18"/>
      <c r="I2" s="18"/>
      <c r="J2" s="18"/>
      <c r="K2" s="18"/>
      <c r="L2" s="18"/>
      <c r="M2" s="18"/>
      <c r="N2" s="18"/>
      <c r="O2" s="18"/>
      <c r="P2" s="18"/>
      <c r="Q2" s="1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17" ht="12.75">
      <c r="A3" s="9"/>
      <c r="B3" s="122"/>
      <c r="C3" s="123"/>
      <c r="D3" s="5"/>
      <c r="E3" s="5"/>
      <c r="F3" s="5"/>
      <c r="G3" s="5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2.75">
      <c r="A4" s="118" t="s">
        <v>61</v>
      </c>
      <c r="B4" s="122"/>
      <c r="C4" s="123"/>
      <c r="D4" s="5"/>
      <c r="E4" s="5"/>
      <c r="F4" s="5"/>
      <c r="G4" s="5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.75">
      <c r="A5" s="9"/>
      <c r="B5" s="122"/>
      <c r="C5" s="123"/>
      <c r="D5" s="5"/>
      <c r="E5" s="5"/>
      <c r="F5" s="5"/>
      <c r="G5" s="5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2.75">
      <c r="A6" s="124"/>
      <c r="B6" s="125" t="s">
        <v>62</v>
      </c>
      <c r="C6" s="126" t="s">
        <v>63</v>
      </c>
      <c r="D6" s="5"/>
      <c r="E6" s="5"/>
      <c r="F6" s="5"/>
      <c r="G6" s="5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.75">
      <c r="A7" s="127" t="s">
        <v>64</v>
      </c>
      <c r="B7" s="104">
        <f>J30</f>
        <v>0</v>
      </c>
      <c r="C7" s="128">
        <f>J29</f>
        <v>0</v>
      </c>
      <c r="D7" s="5"/>
      <c r="E7" s="5"/>
      <c r="F7" s="5"/>
      <c r="G7" s="5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4.25" customHeight="1">
      <c r="A8" s="127" t="s">
        <v>65</v>
      </c>
      <c r="B8" s="104">
        <f>J33</f>
        <v>0</v>
      </c>
      <c r="C8" s="128">
        <f>K33</f>
        <v>0</v>
      </c>
      <c r="D8" s="5"/>
      <c r="E8" s="5"/>
      <c r="F8" s="5"/>
      <c r="G8" s="5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4.25" customHeight="1">
      <c r="A9" s="127" t="s">
        <v>66</v>
      </c>
      <c r="B9" s="104">
        <f>J34</f>
        <v>0</v>
      </c>
      <c r="C9" s="128">
        <f>K34</f>
        <v>0</v>
      </c>
      <c r="D9" s="5"/>
      <c r="E9" s="5"/>
      <c r="F9" s="5"/>
      <c r="G9" s="5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2.75">
      <c r="A10" s="129" t="s">
        <v>10</v>
      </c>
      <c r="B10" s="130">
        <f>IF(B11&gt;0,B11,0)</f>
        <v>0</v>
      </c>
      <c r="C10" s="130">
        <f>IF(C11&gt;0,C11,0)</f>
        <v>0</v>
      </c>
      <c r="D10" s="5"/>
      <c r="E10" s="5"/>
      <c r="F10" s="5"/>
      <c r="G10" s="5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2">
      <c r="A11" s="9"/>
      <c r="B11" s="131">
        <f>B7-B8-B9</f>
        <v>0</v>
      </c>
      <c r="C11" s="131">
        <f>C7-C8-C9</f>
        <v>0</v>
      </c>
      <c r="D11" s="5"/>
      <c r="E11" s="5"/>
      <c r="F11" s="5"/>
      <c r="G11" s="5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.75">
      <c r="A12" s="9"/>
      <c r="B12" s="122"/>
      <c r="C12" s="123"/>
      <c r="D12" s="5"/>
      <c r="E12" s="5"/>
      <c r="F12" s="5"/>
      <c r="G12" s="5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.75">
      <c r="A13" s="9"/>
      <c r="B13" s="122"/>
      <c r="C13" s="123"/>
      <c r="D13" s="5"/>
      <c r="E13" s="5"/>
      <c r="F13" s="5"/>
      <c r="G13" s="5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9"/>
      <c r="B14" s="122"/>
      <c r="C14" s="123"/>
      <c r="D14" s="5"/>
      <c r="E14" s="5"/>
      <c r="F14" s="5"/>
      <c r="G14" s="5"/>
      <c r="H14" s="132" t="s">
        <v>67</v>
      </c>
      <c r="I14" s="106"/>
      <c r="J14" s="133"/>
      <c r="K14" s="133"/>
      <c r="L14" s="134"/>
      <c r="M14" s="28"/>
      <c r="N14" s="28"/>
      <c r="O14" s="28"/>
      <c r="P14" s="28"/>
      <c r="Q14" s="28"/>
    </row>
    <row r="15" spans="1:17" ht="12.75">
      <c r="A15" s="37"/>
      <c r="B15" s="72" t="s">
        <v>68</v>
      </c>
      <c r="C15" s="72" t="s">
        <v>69</v>
      </c>
      <c r="D15" s="5"/>
      <c r="E15" s="5"/>
      <c r="F15" s="5"/>
      <c r="G15" s="5"/>
      <c r="H15" s="232" t="s">
        <v>152</v>
      </c>
      <c r="I15" s="106"/>
      <c r="J15" s="135">
        <v>7500</v>
      </c>
      <c r="K15" s="133"/>
      <c r="L15" s="134"/>
      <c r="M15" s="28"/>
      <c r="N15" s="28"/>
      <c r="O15" s="28"/>
      <c r="P15" s="28"/>
      <c r="Q15" s="28"/>
    </row>
    <row r="16" spans="1:17" ht="12.75">
      <c r="A16" s="138" t="s">
        <v>71</v>
      </c>
      <c r="B16" s="139">
        <f>Calcolo!L25</f>
        <v>3145.406200554984</v>
      </c>
      <c r="C16" s="139">
        <f>B16/12*13</f>
        <v>3407.523383934566</v>
      </c>
      <c r="D16" s="5"/>
      <c r="E16" s="5"/>
      <c r="F16" s="5"/>
      <c r="G16" s="5"/>
      <c r="H16" s="99" t="s">
        <v>70</v>
      </c>
      <c r="I16" s="107"/>
      <c r="J16" s="135">
        <v>15000</v>
      </c>
      <c r="K16" s="136">
        <v>0.23</v>
      </c>
      <c r="L16" s="137"/>
      <c r="M16" s="28"/>
      <c r="N16" s="28"/>
      <c r="O16" s="28"/>
      <c r="P16" s="28"/>
      <c r="Q16" s="28"/>
    </row>
    <row r="17" spans="1:17" ht="12.75">
      <c r="A17" s="9"/>
      <c r="B17" s="122"/>
      <c r="C17" s="123"/>
      <c r="D17" s="5"/>
      <c r="E17" s="5"/>
      <c r="F17" s="5"/>
      <c r="G17" s="5"/>
      <c r="H17" s="99" t="s">
        <v>72</v>
      </c>
      <c r="I17" s="107"/>
      <c r="J17" s="135">
        <v>28000</v>
      </c>
      <c r="K17" s="136">
        <v>0.27</v>
      </c>
      <c r="L17" s="135">
        <f>J16*0.04</f>
        <v>600</v>
      </c>
      <c r="M17" s="28"/>
      <c r="N17" s="28"/>
      <c r="O17" s="28"/>
      <c r="P17" s="28"/>
      <c r="Q17" s="28"/>
    </row>
    <row r="18" spans="1:17" ht="12.75">
      <c r="A18" s="9"/>
      <c r="B18" s="122"/>
      <c r="C18" s="123"/>
      <c r="D18" s="5"/>
      <c r="E18" s="5"/>
      <c r="F18" s="5"/>
      <c r="G18" s="5"/>
      <c r="H18" s="99" t="s">
        <v>73</v>
      </c>
      <c r="I18" s="107"/>
      <c r="J18" s="135">
        <v>55000</v>
      </c>
      <c r="K18" s="136">
        <v>0.38</v>
      </c>
      <c r="L18" s="135">
        <f>L17+J17*0.11</f>
        <v>3680</v>
      </c>
      <c r="M18" s="28"/>
      <c r="N18" s="28"/>
      <c r="O18" s="28"/>
      <c r="P18" s="28"/>
      <c r="Q18" s="28"/>
    </row>
    <row r="19" spans="1:17" ht="12.75">
      <c r="A19" s="9"/>
      <c r="B19" s="122"/>
      <c r="C19" s="123"/>
      <c r="D19" s="5"/>
      <c r="E19" s="5"/>
      <c r="F19" s="5"/>
      <c r="G19" s="5"/>
      <c r="H19" s="99" t="s">
        <v>74</v>
      </c>
      <c r="I19" s="107"/>
      <c r="J19" s="135">
        <v>75000</v>
      </c>
      <c r="K19" s="136">
        <v>0.41</v>
      </c>
      <c r="L19" s="135">
        <f>L18+J18*0.03</f>
        <v>5330</v>
      </c>
      <c r="M19" s="28"/>
      <c r="N19" s="28"/>
      <c r="O19" s="28"/>
      <c r="P19" s="28"/>
      <c r="Q19" s="28"/>
    </row>
    <row r="20" spans="1:17" ht="12.75">
      <c r="A20" s="199" t="s">
        <v>61</v>
      </c>
      <c r="B20" s="198">
        <v>0</v>
      </c>
      <c r="C20" s="123"/>
      <c r="D20" s="5"/>
      <c r="E20" s="5"/>
      <c r="F20" s="5"/>
      <c r="G20" s="5"/>
      <c r="H20" s="99" t="s">
        <v>75</v>
      </c>
      <c r="I20" s="107"/>
      <c r="J20" s="140"/>
      <c r="K20" s="136">
        <v>0.43</v>
      </c>
      <c r="L20" s="135">
        <f>L19+J19*0.02</f>
        <v>6830</v>
      </c>
      <c r="M20" s="28"/>
      <c r="N20" s="28"/>
      <c r="O20" s="28"/>
      <c r="P20" s="28"/>
      <c r="Q20" s="28"/>
    </row>
    <row r="21" spans="1:17" ht="13.5" thickBot="1">
      <c r="A21" s="9"/>
      <c r="B21" s="122"/>
      <c r="C21" s="123"/>
      <c r="D21" s="5"/>
      <c r="E21" s="5"/>
      <c r="F21" s="5"/>
      <c r="G21" s="5"/>
      <c r="H21" s="132" t="s">
        <v>76</v>
      </c>
      <c r="I21" s="106"/>
      <c r="J21" s="141"/>
      <c r="K21" s="142"/>
      <c r="L21" s="29"/>
      <c r="M21" s="28"/>
      <c r="N21" s="28"/>
      <c r="O21" s="28"/>
      <c r="P21" s="28"/>
      <c r="Q21" s="28"/>
    </row>
    <row r="22" spans="1:17" ht="13.5" thickTop="1">
      <c r="A22" s="144" t="s">
        <v>78</v>
      </c>
      <c r="B22" s="145"/>
      <c r="C22" s="146"/>
      <c r="D22" s="5"/>
      <c r="E22" s="5"/>
      <c r="F22" s="5"/>
      <c r="G22" s="5"/>
      <c r="H22" s="99" t="s">
        <v>77</v>
      </c>
      <c r="I22" s="107"/>
      <c r="J22" s="143">
        <f>B16*K16</f>
        <v>723.4434261276464</v>
      </c>
      <c r="K22" s="143">
        <f>C16*K16</f>
        <v>783.7303783049502</v>
      </c>
      <c r="L22" s="29"/>
      <c r="M22" s="28"/>
      <c r="N22" s="28"/>
      <c r="O22" s="28"/>
      <c r="P22" s="28"/>
      <c r="Q22" s="28"/>
    </row>
    <row r="23" spans="1:17" ht="12.75">
      <c r="A23" s="147" t="s">
        <v>80</v>
      </c>
      <c r="B23" s="148"/>
      <c r="C23" s="149"/>
      <c r="D23" s="5"/>
      <c r="E23" s="5"/>
      <c r="F23" s="5"/>
      <c r="G23" s="5"/>
      <c r="H23" s="99" t="s">
        <v>79</v>
      </c>
      <c r="I23" s="107"/>
      <c r="J23" s="143">
        <f>B16*K17-L17</f>
        <v>249.25967414984575</v>
      </c>
      <c r="K23" s="143">
        <f>C16*K17-L17</f>
        <v>320.0313136623329</v>
      </c>
      <c r="L23" s="29"/>
      <c r="M23" s="28"/>
      <c r="N23" s="28"/>
      <c r="O23" s="28"/>
      <c r="P23" s="28"/>
      <c r="Q23" s="28"/>
    </row>
    <row r="24" spans="1:17" ht="12.75">
      <c r="A24" s="147"/>
      <c r="B24" s="148"/>
      <c r="C24" s="149"/>
      <c r="D24" s="5"/>
      <c r="E24" s="5"/>
      <c r="F24" s="5"/>
      <c r="G24" s="5"/>
      <c r="H24" s="99" t="s">
        <v>81</v>
      </c>
      <c r="I24" s="107"/>
      <c r="J24" s="143">
        <f>B16*K18-L18</f>
        <v>-2484.745643789106</v>
      </c>
      <c r="K24" s="143">
        <f>C16*K18-L18</f>
        <v>-2385.1411141048648</v>
      </c>
      <c r="L24" s="29"/>
      <c r="M24" s="28"/>
      <c r="N24" s="28"/>
      <c r="O24" s="28"/>
      <c r="P24" s="28"/>
      <c r="Q24" s="28"/>
    </row>
    <row r="25" spans="1:17" ht="12.75">
      <c r="A25" s="150" t="s">
        <v>83</v>
      </c>
      <c r="B25" s="148"/>
      <c r="C25" s="149"/>
      <c r="D25" s="5"/>
      <c r="E25" s="5"/>
      <c r="F25" s="5"/>
      <c r="G25" s="5"/>
      <c r="H25" s="99" t="s">
        <v>82</v>
      </c>
      <c r="I25" s="107"/>
      <c r="J25" s="143">
        <f>B16*K19-L19</f>
        <v>-4040.3834577724565</v>
      </c>
      <c r="K25" s="143">
        <f>C16*K19-L19</f>
        <v>-3932.915412586828</v>
      </c>
      <c r="L25" s="29"/>
      <c r="M25" s="28"/>
      <c r="N25" s="28"/>
      <c r="O25" s="28"/>
      <c r="P25" s="28"/>
      <c r="Q25" s="28"/>
    </row>
    <row r="26" spans="1:17" ht="12.75">
      <c r="A26" s="151">
        <v>2</v>
      </c>
      <c r="B26" s="148"/>
      <c r="C26" s="149"/>
      <c r="D26" s="5"/>
      <c r="E26" s="5"/>
      <c r="F26" s="5"/>
      <c r="G26" s="5"/>
      <c r="H26" s="99" t="s">
        <v>84</v>
      </c>
      <c r="I26" s="107"/>
      <c r="J26" s="143">
        <f>B16*K20-L20</f>
        <v>-5477.4753337613565</v>
      </c>
      <c r="K26" s="143">
        <f>C16*K20-L20</f>
        <v>-5364.764944908136</v>
      </c>
      <c r="L26" s="29"/>
      <c r="M26" s="28"/>
      <c r="N26" s="28"/>
      <c r="O26" s="28"/>
      <c r="P26" s="28"/>
      <c r="Q26" s="28"/>
    </row>
    <row r="27" spans="1:17" ht="12.75">
      <c r="A27" s="147"/>
      <c r="B27" s="148"/>
      <c r="C27" s="149"/>
      <c r="D27" s="5"/>
      <c r="E27" s="5"/>
      <c r="F27" s="5"/>
      <c r="G27" s="5"/>
      <c r="H27" s="152"/>
      <c r="I27" s="152"/>
      <c r="J27" s="153" t="s">
        <v>85</v>
      </c>
      <c r="K27" s="154" t="s">
        <v>86</v>
      </c>
      <c r="L27" s="29"/>
      <c r="M27" s="28"/>
      <c r="N27" s="28"/>
      <c r="O27" s="28"/>
      <c r="P27" s="28"/>
      <c r="Q27" s="28"/>
    </row>
    <row r="28" spans="1:17" ht="13.5" thickBot="1">
      <c r="A28" s="157" t="s">
        <v>88</v>
      </c>
      <c r="B28" s="158"/>
      <c r="C28" s="159">
        <v>0.5</v>
      </c>
      <c r="D28" s="5"/>
      <c r="E28" s="5"/>
      <c r="F28" s="5"/>
      <c r="G28" s="5"/>
      <c r="H28" s="110" t="s">
        <v>87</v>
      </c>
      <c r="I28" s="155"/>
      <c r="J28" s="156">
        <f>IF(C16&lt;J15,0,IF(B16&gt;J19,J26,IF(B16&gt;J18,J25,IF(B16&gt;J17,J24,IF(B16&gt;J16,J23,J22)))))</f>
        <v>0</v>
      </c>
      <c r="K28" s="156">
        <f>IF(J28-J35&lt;0,0,J28-J35)</f>
        <v>0</v>
      </c>
      <c r="L28" s="29"/>
      <c r="M28" s="28"/>
      <c r="N28" s="28"/>
      <c r="O28" s="28"/>
      <c r="P28" s="28"/>
      <c r="Q28" s="28"/>
    </row>
    <row r="29" spans="1:17" ht="13.5" thickBot="1" thickTop="1">
      <c r="A29" s="5"/>
      <c r="B29" s="9"/>
      <c r="C29" s="5"/>
      <c r="D29" s="5"/>
      <c r="E29" s="5"/>
      <c r="F29" s="5"/>
      <c r="G29" s="5"/>
      <c r="H29" s="110" t="s">
        <v>89</v>
      </c>
      <c r="I29" s="155"/>
      <c r="J29" s="156">
        <f>ROUND(J28/12,2)</f>
        <v>0</v>
      </c>
      <c r="K29" s="156">
        <f>IF(J29-K35&lt;0,0,J29-K35)</f>
        <v>0</v>
      </c>
      <c r="L29" s="29"/>
      <c r="M29" s="28"/>
      <c r="N29" s="28"/>
      <c r="O29" s="28"/>
      <c r="P29" s="28"/>
      <c r="Q29" s="28"/>
    </row>
    <row r="30" spans="1:17" ht="13.5" thickTop="1">
      <c r="A30" s="160" t="s">
        <v>91</v>
      </c>
      <c r="B30" s="161"/>
      <c r="C30" s="162"/>
      <c r="D30" s="5"/>
      <c r="E30" s="5"/>
      <c r="F30" s="5"/>
      <c r="G30" s="5"/>
      <c r="H30" s="110" t="s">
        <v>90</v>
      </c>
      <c r="I30" s="155"/>
      <c r="J30" s="156">
        <f>IF(C16&lt;J15,0,IF(C16&gt;J19,K26,IF(C16&gt;J18,K25,IF(C16&gt;J17,K24,IF(C16&gt;J16,K23,K22)))))</f>
        <v>0</v>
      </c>
      <c r="K30" s="156">
        <f>IF(J30-J35&lt;0,0,J30-J35)</f>
        <v>0</v>
      </c>
      <c r="L30" s="29"/>
      <c r="M30" s="28"/>
      <c r="N30" s="28"/>
      <c r="O30" s="28"/>
      <c r="P30" s="28"/>
      <c r="Q30" s="28"/>
    </row>
    <row r="31" spans="1:17" ht="12.75">
      <c r="A31" s="164" t="s">
        <v>92</v>
      </c>
      <c r="B31" s="148"/>
      <c r="C31" s="149"/>
      <c r="D31" s="5"/>
      <c r="E31" s="5"/>
      <c r="F31" s="5"/>
      <c r="G31" s="5"/>
      <c r="H31" s="28"/>
      <c r="I31" s="28"/>
      <c r="J31" s="163"/>
      <c r="K31" s="163"/>
      <c r="L31" s="29"/>
      <c r="M31" s="28"/>
      <c r="N31" s="28"/>
      <c r="O31" s="28"/>
      <c r="P31" s="28"/>
      <c r="Q31" s="28"/>
    </row>
    <row r="32" spans="1:17" ht="12.75">
      <c r="A32" s="165"/>
      <c r="B32" s="148"/>
      <c r="C32" s="149"/>
      <c r="D32" s="5"/>
      <c r="E32" s="5"/>
      <c r="F32" s="5"/>
      <c r="G32" s="5"/>
      <c r="H32" s="28"/>
      <c r="I32" s="28"/>
      <c r="J32" s="163" t="s">
        <v>62</v>
      </c>
      <c r="K32" s="163" t="s">
        <v>63</v>
      </c>
      <c r="L32" s="29"/>
      <c r="M32" s="28"/>
      <c r="N32" s="28"/>
      <c r="O32" s="28"/>
      <c r="P32" s="28"/>
      <c r="Q32" s="28"/>
    </row>
    <row r="33" spans="1:17" ht="12.75">
      <c r="A33" s="165"/>
      <c r="B33" s="169">
        <v>0</v>
      </c>
      <c r="C33" s="170"/>
      <c r="D33" s="5"/>
      <c r="E33" s="5"/>
      <c r="F33" s="5"/>
      <c r="G33" s="5"/>
      <c r="H33" s="166" t="s">
        <v>65</v>
      </c>
      <c r="I33" s="167"/>
      <c r="J33" s="168">
        <f>IF(C16&lt;J15,0,ROUND(N42,2))</f>
        <v>0</v>
      </c>
      <c r="K33" s="168">
        <f>J33/12</f>
        <v>0</v>
      </c>
      <c r="L33" s="28"/>
      <c r="M33" s="28"/>
      <c r="N33" s="28"/>
      <c r="O33" s="28"/>
      <c r="P33" s="28"/>
      <c r="Q33" s="28"/>
    </row>
    <row r="34" spans="1:17" ht="12.75">
      <c r="A34" s="165"/>
      <c r="B34" s="148"/>
      <c r="C34" s="149"/>
      <c r="D34" s="5"/>
      <c r="E34" s="5"/>
      <c r="F34" s="5"/>
      <c r="G34" s="5"/>
      <c r="H34" s="166" t="s">
        <v>93</v>
      </c>
      <c r="I34" s="167"/>
      <c r="J34" s="168">
        <f>IF(C16&lt;J15,0,J55+J56+J57)</f>
        <v>0</v>
      </c>
      <c r="K34" s="168">
        <f>J34/12</f>
        <v>0</v>
      </c>
      <c r="L34" s="28"/>
      <c r="M34" s="28"/>
      <c r="N34" s="28"/>
      <c r="O34" s="28"/>
      <c r="P34" s="28"/>
      <c r="Q34" s="28"/>
    </row>
    <row r="35" spans="1:17" ht="12.75">
      <c r="A35" s="165" t="s">
        <v>95</v>
      </c>
      <c r="B35" s="148"/>
      <c r="C35" s="172">
        <v>0</v>
      </c>
      <c r="D35" s="5"/>
      <c r="E35" s="5"/>
      <c r="F35" s="5"/>
      <c r="G35" s="5"/>
      <c r="H35" s="138" t="s">
        <v>94</v>
      </c>
      <c r="I35" s="171"/>
      <c r="J35" s="128">
        <f>J33+J34</f>
        <v>0</v>
      </c>
      <c r="K35" s="128">
        <f>J35/12</f>
        <v>0</v>
      </c>
      <c r="L35" s="28"/>
      <c r="M35" s="28"/>
      <c r="N35" s="28"/>
      <c r="O35" s="28"/>
      <c r="P35" s="28"/>
      <c r="Q35" s="28"/>
    </row>
    <row r="36" spans="1:17" ht="12">
      <c r="A36" s="165" t="s">
        <v>96</v>
      </c>
      <c r="B36" s="148"/>
      <c r="C36" s="172">
        <v>0</v>
      </c>
      <c r="D36" s="5"/>
      <c r="E36" s="5"/>
      <c r="F36" s="5"/>
      <c r="G36" s="5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">
      <c r="A37" s="165" t="s">
        <v>97</v>
      </c>
      <c r="B37" s="148"/>
      <c r="C37" s="172">
        <v>0</v>
      </c>
      <c r="D37" s="5"/>
      <c r="E37" s="5"/>
      <c r="F37" s="5"/>
      <c r="G37" s="5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">
      <c r="A38" s="165"/>
      <c r="B38" s="148"/>
      <c r="C38" s="175"/>
      <c r="D38" s="5"/>
      <c r="E38" s="5"/>
      <c r="F38" s="5"/>
      <c r="G38" s="5"/>
      <c r="H38" s="99" t="s">
        <v>98</v>
      </c>
      <c r="I38" s="106"/>
      <c r="J38" s="173"/>
      <c r="K38" s="133"/>
      <c r="L38" s="174"/>
      <c r="M38" s="28"/>
      <c r="N38" s="28"/>
      <c r="O38" s="28"/>
      <c r="P38" s="28"/>
      <c r="Q38" s="28"/>
    </row>
    <row r="39" spans="1:17" ht="12">
      <c r="A39" s="165" t="s">
        <v>100</v>
      </c>
      <c r="B39" s="148"/>
      <c r="C39" s="172">
        <v>0</v>
      </c>
      <c r="D39" s="5"/>
      <c r="E39" s="5"/>
      <c r="F39" s="5"/>
      <c r="G39" s="5"/>
      <c r="H39" s="70" t="s">
        <v>99</v>
      </c>
      <c r="I39" s="64"/>
      <c r="J39" s="136">
        <v>1725</v>
      </c>
      <c r="K39" s="136">
        <v>0</v>
      </c>
      <c r="L39" s="176">
        <f>J39+K39</f>
        <v>1725</v>
      </c>
      <c r="M39" s="28"/>
      <c r="N39" s="28"/>
      <c r="O39" s="28"/>
      <c r="P39" s="28"/>
      <c r="Q39" s="28"/>
    </row>
    <row r="40" spans="1:17" ht="12.75" thickBot="1">
      <c r="A40" s="179"/>
      <c r="B40" s="180"/>
      <c r="C40" s="181"/>
      <c r="D40" s="5"/>
      <c r="E40" s="5"/>
      <c r="F40" s="5"/>
      <c r="G40" s="5"/>
      <c r="H40" s="177" t="s">
        <v>101</v>
      </c>
      <c r="I40" s="178"/>
      <c r="J40" s="136">
        <v>1255</v>
      </c>
      <c r="K40" s="136">
        <f>470*(15000-C16)/7500</f>
        <v>726.4618679401005</v>
      </c>
      <c r="L40" s="176">
        <f>J40+K40</f>
        <v>1981.4618679401005</v>
      </c>
      <c r="M40" s="28"/>
      <c r="N40" s="28"/>
      <c r="O40" s="28"/>
      <c r="P40" s="28"/>
      <c r="Q40" s="28"/>
    </row>
    <row r="41" spans="1:17" ht="12.75" thickTop="1">
      <c r="A41" s="5"/>
      <c r="B41" s="9"/>
      <c r="C41" s="5"/>
      <c r="D41" s="5"/>
      <c r="E41" s="5"/>
      <c r="F41" s="5"/>
      <c r="G41" s="5"/>
      <c r="H41" s="98" t="s">
        <v>102</v>
      </c>
      <c r="I41" s="66"/>
      <c r="J41" s="136">
        <v>1255</v>
      </c>
      <c r="K41" s="182">
        <f>ROUND((55000-C16)/40000,4)</f>
        <v>1.2898</v>
      </c>
      <c r="L41" s="176">
        <f>IF(K41&gt;1,J41,J41*K41)</f>
        <v>1255</v>
      </c>
      <c r="M41" s="28"/>
      <c r="N41" s="28"/>
      <c r="O41" s="28"/>
      <c r="P41" s="28"/>
      <c r="Q41" s="28"/>
    </row>
    <row r="42" spans="1:17" ht="13.5" thickBot="1">
      <c r="A42" s="5"/>
      <c r="B42" s="9"/>
      <c r="C42" s="5"/>
      <c r="D42" s="5"/>
      <c r="E42" s="5"/>
      <c r="F42" s="5"/>
      <c r="G42" s="5"/>
      <c r="H42" s="132" t="s">
        <v>103</v>
      </c>
      <c r="I42" s="183"/>
      <c r="J42" s="119">
        <f>IF(C16&gt;J18,0,IF(C16&gt;J16,L41,IF(C16&gt;7500,L40,L39)))</f>
        <v>1725</v>
      </c>
      <c r="K42" s="28"/>
      <c r="L42" s="29"/>
      <c r="M42" s="28"/>
      <c r="N42" s="184">
        <f>IF(L44=0,J42,J48)</f>
        <v>1725</v>
      </c>
      <c r="O42" s="28"/>
      <c r="P42" s="28"/>
      <c r="Q42" s="28"/>
    </row>
    <row r="43" spans="1:17" ht="13.5" thickTop="1">
      <c r="A43" s="160" t="s">
        <v>104</v>
      </c>
      <c r="B43" s="161"/>
      <c r="C43" s="162"/>
      <c r="D43" s="5"/>
      <c r="E43" s="5"/>
      <c r="F43" s="5"/>
      <c r="G43" s="5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164" t="s">
        <v>106</v>
      </c>
      <c r="B44" s="148"/>
      <c r="C44" s="149"/>
      <c r="D44" s="5"/>
      <c r="E44" s="5"/>
      <c r="F44" s="5"/>
      <c r="G44" s="5"/>
      <c r="H44" s="99" t="s">
        <v>105</v>
      </c>
      <c r="I44" s="106"/>
      <c r="J44" s="173"/>
      <c r="K44" s="133"/>
      <c r="L44" s="185">
        <v>0</v>
      </c>
      <c r="M44" s="28"/>
      <c r="N44" s="28"/>
      <c r="O44" s="28"/>
      <c r="P44" s="28"/>
      <c r="Q44" s="28"/>
    </row>
    <row r="45" spans="1:17" ht="12">
      <c r="A45" s="165" t="s">
        <v>107</v>
      </c>
      <c r="B45" s="148"/>
      <c r="C45" s="149"/>
      <c r="D45" s="5"/>
      <c r="E45" s="5"/>
      <c r="F45" s="5"/>
      <c r="G45" s="5"/>
      <c r="H45" s="70" t="s">
        <v>99</v>
      </c>
      <c r="I45" s="64"/>
      <c r="J45" s="136">
        <v>1783</v>
      </c>
      <c r="K45" s="136">
        <v>0</v>
      </c>
      <c r="L45" s="176">
        <f>J45+K45</f>
        <v>1783</v>
      </c>
      <c r="M45" s="28"/>
      <c r="N45" s="28"/>
      <c r="O45" s="28"/>
      <c r="P45" s="28"/>
      <c r="Q45" s="28"/>
    </row>
    <row r="46" spans="1:17" ht="12">
      <c r="A46" s="165"/>
      <c r="B46" s="148"/>
      <c r="C46" s="149"/>
      <c r="D46" s="5"/>
      <c r="E46" s="5"/>
      <c r="F46" s="5"/>
      <c r="G46" s="5"/>
      <c r="H46" s="177" t="s">
        <v>101</v>
      </c>
      <c r="I46" s="178"/>
      <c r="J46" s="136">
        <v>1297</v>
      </c>
      <c r="K46" s="136">
        <f>486*(15000-C16)/7250</f>
        <v>777.0956738493518</v>
      </c>
      <c r="L46" s="176">
        <f>J46+K46</f>
        <v>2074.095673849352</v>
      </c>
      <c r="M46" s="28"/>
      <c r="N46" s="28"/>
      <c r="O46" s="28"/>
      <c r="P46" s="28"/>
      <c r="Q46" s="28"/>
    </row>
    <row r="47" spans="1:17" ht="12.75">
      <c r="A47" s="165" t="s">
        <v>108</v>
      </c>
      <c r="B47" s="148"/>
      <c r="C47" s="149"/>
      <c r="D47" s="5"/>
      <c r="E47" s="5"/>
      <c r="F47" s="5"/>
      <c r="G47" s="5"/>
      <c r="H47" s="98" t="s">
        <v>102</v>
      </c>
      <c r="I47" s="66"/>
      <c r="J47" s="136">
        <v>1297</v>
      </c>
      <c r="K47" s="182">
        <f>ROUND((55000-C16)/40000,4)</f>
        <v>1.2898</v>
      </c>
      <c r="L47" s="176">
        <f>IF(K47&gt;1,J47,J47*K47)</f>
        <v>1297</v>
      </c>
      <c r="M47" s="28"/>
      <c r="N47" s="28"/>
      <c r="O47" s="28"/>
      <c r="P47" s="28"/>
      <c r="Q47" s="28"/>
    </row>
    <row r="48" spans="1:17" ht="12.75">
      <c r="A48" s="165"/>
      <c r="B48" s="169">
        <v>0</v>
      </c>
      <c r="C48" s="149"/>
      <c r="D48" s="5"/>
      <c r="E48" s="5"/>
      <c r="F48" s="5"/>
      <c r="G48" s="5"/>
      <c r="H48" s="132" t="s">
        <v>103</v>
      </c>
      <c r="I48" s="183"/>
      <c r="J48" s="186">
        <f>IF(K48&gt;713,K48,713)</f>
        <v>1783</v>
      </c>
      <c r="K48" s="187">
        <f>IF(C16&gt;J18,0,IF(C16&gt;J16,L47,IF(C16&gt;7500,L46,L45)))</f>
        <v>1783</v>
      </c>
      <c r="L48" s="29"/>
      <c r="M48" s="28"/>
      <c r="N48" s="28"/>
      <c r="O48" s="28"/>
      <c r="P48" s="28"/>
      <c r="Q48" s="28"/>
    </row>
    <row r="49" spans="1:17" ht="12.75">
      <c r="A49" s="165"/>
      <c r="B49" s="169">
        <v>0</v>
      </c>
      <c r="C49" s="149"/>
      <c r="D49" s="5"/>
      <c r="E49" s="5"/>
      <c r="F49" s="5"/>
      <c r="G49" s="5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165"/>
      <c r="B50" s="148"/>
      <c r="C50" s="149"/>
      <c r="D50" s="5"/>
      <c r="E50" s="5"/>
      <c r="F50" s="5"/>
      <c r="G50" s="5"/>
      <c r="H50" s="18"/>
      <c r="I50" s="18"/>
      <c r="J50" s="18"/>
      <c r="K50" s="18"/>
      <c r="L50" s="59"/>
      <c r="M50" s="18"/>
      <c r="N50" s="18"/>
      <c r="O50" s="18"/>
      <c r="P50" s="18"/>
      <c r="Q50" s="18"/>
    </row>
    <row r="51" spans="1:17" ht="12">
      <c r="A51" s="165" t="s">
        <v>109</v>
      </c>
      <c r="B51" s="148"/>
      <c r="C51" s="149"/>
      <c r="D51" s="5"/>
      <c r="E51" s="5"/>
      <c r="F51" s="5"/>
      <c r="G51" s="5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165" t="s">
        <v>111</v>
      </c>
      <c r="B52" s="148"/>
      <c r="C52" s="172">
        <v>0</v>
      </c>
      <c r="D52" s="5"/>
      <c r="E52" s="5"/>
      <c r="F52" s="5"/>
      <c r="G52" s="5"/>
      <c r="H52" s="61" t="s">
        <v>110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">
      <c r="A53" s="165" t="s">
        <v>113</v>
      </c>
      <c r="B53" s="148"/>
      <c r="C53" s="172">
        <v>0</v>
      </c>
      <c r="D53" s="5"/>
      <c r="E53" s="5"/>
      <c r="F53" s="5"/>
      <c r="G53" s="5"/>
      <c r="H53" s="99" t="s">
        <v>112</v>
      </c>
      <c r="I53" s="107"/>
      <c r="J53" s="67">
        <f>A26</f>
        <v>2</v>
      </c>
      <c r="K53" s="28"/>
      <c r="L53" s="29"/>
      <c r="M53" s="28"/>
      <c r="N53" s="28"/>
      <c r="O53" s="28"/>
      <c r="P53" s="28"/>
      <c r="Q53" s="28"/>
    </row>
    <row r="54" spans="1:17" ht="12">
      <c r="A54" s="165" t="s">
        <v>115</v>
      </c>
      <c r="B54" s="148"/>
      <c r="C54" s="172">
        <v>0</v>
      </c>
      <c r="D54" s="5"/>
      <c r="E54" s="5"/>
      <c r="F54" s="5"/>
      <c r="G54" s="5"/>
      <c r="H54" s="99" t="s">
        <v>114</v>
      </c>
      <c r="I54" s="107"/>
      <c r="J54" s="188">
        <f>C28</f>
        <v>0.5</v>
      </c>
      <c r="K54" s="28"/>
      <c r="L54" s="29"/>
      <c r="M54" s="28"/>
      <c r="N54" s="28"/>
      <c r="O54" s="28"/>
      <c r="P54" s="28"/>
      <c r="Q54" s="28"/>
    </row>
    <row r="55" spans="1:17" ht="12.75">
      <c r="A55" s="165"/>
      <c r="B55" s="148"/>
      <c r="C55" s="175"/>
      <c r="D55" s="5"/>
      <c r="E55" s="5"/>
      <c r="F55" s="5"/>
      <c r="G55" s="5"/>
      <c r="H55" s="189" t="s">
        <v>116</v>
      </c>
      <c r="I55" s="190"/>
      <c r="J55" s="90">
        <f>J64</f>
        <v>0</v>
      </c>
      <c r="K55" s="90">
        <f>ROUND(J55/12,2)</f>
        <v>0</v>
      </c>
      <c r="L55" s="29"/>
      <c r="M55" s="28"/>
      <c r="N55" s="28"/>
      <c r="O55" s="28"/>
      <c r="P55" s="28"/>
      <c r="Q55" s="28"/>
    </row>
    <row r="56" spans="1:17" ht="12.75">
      <c r="A56" s="165" t="s">
        <v>100</v>
      </c>
      <c r="B56" s="148"/>
      <c r="C56" s="172">
        <v>0</v>
      </c>
      <c r="D56" s="5"/>
      <c r="E56" s="5"/>
      <c r="F56" s="5"/>
      <c r="G56" s="5"/>
      <c r="H56" s="189" t="s">
        <v>117</v>
      </c>
      <c r="I56" s="190"/>
      <c r="J56" s="90">
        <f>(J77+J101+J107)*J54</f>
        <v>0</v>
      </c>
      <c r="K56" s="90">
        <f>ROUND(J56/12,2)</f>
        <v>0</v>
      </c>
      <c r="L56" s="29"/>
      <c r="M56" s="28"/>
      <c r="N56" s="28"/>
      <c r="O56" s="28"/>
      <c r="P56" s="28"/>
      <c r="Q56" s="28"/>
    </row>
    <row r="57" spans="1:17" ht="13.5" thickBot="1">
      <c r="A57" s="179"/>
      <c r="B57" s="180"/>
      <c r="C57" s="181"/>
      <c r="D57" s="5"/>
      <c r="E57" s="5"/>
      <c r="F57" s="5"/>
      <c r="G57" s="5"/>
      <c r="H57" s="189" t="s">
        <v>118</v>
      </c>
      <c r="I57" s="190"/>
      <c r="J57" s="90">
        <f>J82*J54</f>
        <v>0</v>
      </c>
      <c r="K57" s="90">
        <f>ROUND(J57/12,2)</f>
        <v>0</v>
      </c>
      <c r="L57" s="29"/>
      <c r="M57" s="28"/>
      <c r="N57" s="28"/>
      <c r="O57" s="28"/>
      <c r="P57" s="28"/>
      <c r="Q57" s="28"/>
    </row>
    <row r="58" spans="1:17" ht="12.75" thickTop="1">
      <c r="A58" s="5"/>
      <c r="B58" s="9"/>
      <c r="C58" s="5"/>
      <c r="D58" s="5"/>
      <c r="E58" s="5"/>
      <c r="F58" s="5"/>
      <c r="G58" s="5"/>
      <c r="H58" s="28"/>
      <c r="I58" s="28"/>
      <c r="J58" s="28"/>
      <c r="K58" s="28"/>
      <c r="L58" s="29"/>
      <c r="M58" s="28"/>
      <c r="N58" s="28"/>
      <c r="O58" s="28"/>
      <c r="P58" s="28"/>
      <c r="Q58" s="28"/>
    </row>
    <row r="59" spans="1:17" ht="12.75">
      <c r="A59" s="5"/>
      <c r="B59" s="9"/>
      <c r="C59" s="5"/>
      <c r="D59" s="5"/>
      <c r="E59" s="5"/>
      <c r="F59" s="5"/>
      <c r="G59" s="5"/>
      <c r="H59" s="61" t="s">
        <v>119</v>
      </c>
      <c r="I59" s="28"/>
      <c r="J59" s="28"/>
      <c r="K59" s="28"/>
      <c r="L59" s="29"/>
      <c r="M59" s="28"/>
      <c r="N59" s="28" t="s">
        <v>120</v>
      </c>
      <c r="O59" s="28"/>
      <c r="P59" s="28"/>
      <c r="Q59" s="28"/>
    </row>
    <row r="60" spans="1:17" ht="12">
      <c r="A60" s="5"/>
      <c r="B60" s="9"/>
      <c r="C60" s="5"/>
      <c r="D60" s="5"/>
      <c r="E60" s="5"/>
      <c r="F60" s="5"/>
      <c r="G60" s="5"/>
      <c r="H60" s="99" t="s">
        <v>121</v>
      </c>
      <c r="I60" s="106"/>
      <c r="J60" s="173"/>
      <c r="K60" s="133"/>
      <c r="L60" s="137">
        <f>B33</f>
        <v>0</v>
      </c>
      <c r="M60" s="28"/>
      <c r="N60" s="67">
        <f>IF(C16&gt;35200,0,IF(C16&gt;35100,10,IF(C16&gt;35000,20,IF(C16&gt;34700,30,IF(C16&gt;29200,20,IF(C16&gt;29000,10,0))))))</f>
        <v>0</v>
      </c>
      <c r="O60" s="28"/>
      <c r="P60" s="28"/>
      <c r="Q60" s="28"/>
    </row>
    <row r="61" spans="1:17" ht="12">
      <c r="A61" s="5"/>
      <c r="B61" s="9"/>
      <c r="C61" s="5"/>
      <c r="D61" s="5"/>
      <c r="E61" s="5"/>
      <c r="F61" s="5"/>
      <c r="G61" s="5"/>
      <c r="H61" s="70" t="s">
        <v>101</v>
      </c>
      <c r="I61" s="64"/>
      <c r="J61" s="136">
        <v>800</v>
      </c>
      <c r="K61" s="136">
        <f>110*C16/15000</f>
        <v>24.98850481552015</v>
      </c>
      <c r="L61" s="176">
        <f>J61-K61</f>
        <v>775.0114951844798</v>
      </c>
      <c r="M61" s="28"/>
      <c r="N61" s="28"/>
      <c r="O61" s="28"/>
      <c r="P61" s="28"/>
      <c r="Q61" s="28"/>
    </row>
    <row r="62" spans="1:17" ht="12">
      <c r="A62" s="5"/>
      <c r="B62" s="9"/>
      <c r="C62" s="5"/>
      <c r="D62" s="5"/>
      <c r="E62" s="5"/>
      <c r="F62" s="5"/>
      <c r="G62" s="5"/>
      <c r="H62" s="177" t="s">
        <v>122</v>
      </c>
      <c r="I62" s="178"/>
      <c r="J62" s="136">
        <v>690</v>
      </c>
      <c r="K62" s="136">
        <v>0</v>
      </c>
      <c r="L62" s="176">
        <f>J62+N60</f>
        <v>690</v>
      </c>
      <c r="M62" s="28"/>
      <c r="N62" s="28"/>
      <c r="O62" s="28"/>
      <c r="P62" s="28"/>
      <c r="Q62" s="28"/>
    </row>
    <row r="63" spans="1:17" ht="12">
      <c r="A63" s="5"/>
      <c r="B63" s="9"/>
      <c r="C63" s="5"/>
      <c r="D63" s="5"/>
      <c r="E63" s="5"/>
      <c r="F63" s="5"/>
      <c r="G63" s="5"/>
      <c r="H63" s="98" t="s">
        <v>123</v>
      </c>
      <c r="I63" s="66"/>
      <c r="J63" s="176">
        <f>690</f>
        <v>690</v>
      </c>
      <c r="K63" s="182">
        <f>ROUND((80000-C16)/40000,4)</f>
        <v>1.9148</v>
      </c>
      <c r="L63" s="176">
        <f>IF(K63&gt;1,J63,J63*K63)</f>
        <v>690</v>
      </c>
      <c r="M63" s="28"/>
      <c r="N63" s="28"/>
      <c r="O63" s="28"/>
      <c r="P63" s="28"/>
      <c r="Q63" s="28"/>
    </row>
    <row r="64" spans="1:17" ht="12.75">
      <c r="A64" s="5"/>
      <c r="B64" s="9"/>
      <c r="C64" s="5"/>
      <c r="D64" s="5"/>
      <c r="E64" s="5"/>
      <c r="F64" s="5"/>
      <c r="G64" s="5"/>
      <c r="H64" s="132" t="s">
        <v>103</v>
      </c>
      <c r="I64" s="183"/>
      <c r="J64" s="119">
        <f>K64*L60</f>
        <v>0</v>
      </c>
      <c r="K64" s="187">
        <f>IF(C16&gt;80000,0,IF(C16&gt;40000,L63,IF(C16&gt;15000,L62,L61)))</f>
        <v>775.0114951844798</v>
      </c>
      <c r="L64" s="119">
        <f>J64/12</f>
        <v>0</v>
      </c>
      <c r="M64" s="191"/>
      <c r="N64" s="28"/>
      <c r="O64" s="28"/>
      <c r="P64" s="28"/>
      <c r="Q64" s="28"/>
    </row>
    <row r="65" spans="1:17" ht="12">
      <c r="A65" s="5"/>
      <c r="B65" s="9"/>
      <c r="C65" s="5"/>
      <c r="D65" s="5"/>
      <c r="E65" s="5"/>
      <c r="F65" s="5"/>
      <c r="G65" s="5"/>
      <c r="H65" s="28"/>
      <c r="I65" s="28"/>
      <c r="J65" s="28"/>
      <c r="K65" s="28"/>
      <c r="L65" s="29"/>
      <c r="M65" s="192"/>
      <c r="N65" s="193"/>
      <c r="O65" s="28"/>
      <c r="P65" s="28"/>
      <c r="Q65" s="28"/>
    </row>
    <row r="66" spans="1:17" ht="12">
      <c r="A66" s="5"/>
      <c r="B66" s="9"/>
      <c r="C66" s="5"/>
      <c r="D66" s="5"/>
      <c r="E66" s="5"/>
      <c r="F66" s="5"/>
      <c r="G66" s="5"/>
      <c r="H66" s="28"/>
      <c r="I66" s="28"/>
      <c r="J66" s="29"/>
      <c r="K66" s="28"/>
      <c r="L66" s="29"/>
      <c r="M66" s="192"/>
      <c r="N66" s="192"/>
      <c r="O66" s="28"/>
      <c r="P66" s="28"/>
      <c r="Q66" s="28"/>
    </row>
    <row r="67" spans="1:17" ht="12">
      <c r="A67" s="5"/>
      <c r="B67" s="9"/>
      <c r="C67" s="5"/>
      <c r="D67" s="5"/>
      <c r="E67" s="5"/>
      <c r="F67" s="5"/>
      <c r="G67" s="5"/>
      <c r="H67" s="99" t="s">
        <v>95</v>
      </c>
      <c r="I67" s="107"/>
      <c r="J67" s="194">
        <f>IF(J53=2,C35,0)</f>
        <v>0</v>
      </c>
      <c r="K67" s="28"/>
      <c r="L67" s="29"/>
      <c r="M67" s="192"/>
      <c r="N67" s="192"/>
      <c r="O67" s="28"/>
      <c r="P67" s="28"/>
      <c r="Q67" s="28"/>
    </row>
    <row r="68" spans="1:17" ht="12">
      <c r="A68" s="5"/>
      <c r="B68" s="9"/>
      <c r="C68" s="5"/>
      <c r="D68" s="5"/>
      <c r="E68" s="5"/>
      <c r="F68" s="5"/>
      <c r="G68" s="5"/>
      <c r="H68" s="99" t="s">
        <v>124</v>
      </c>
      <c r="I68" s="107"/>
      <c r="J68" s="194">
        <f>IF(J53=2,C36,0)</f>
        <v>0</v>
      </c>
      <c r="K68" s="28"/>
      <c r="L68" s="192"/>
      <c r="M68" s="192"/>
      <c r="N68" s="192"/>
      <c r="O68" s="28"/>
      <c r="P68" s="28"/>
      <c r="Q68" s="28"/>
    </row>
    <row r="69" spans="1:17" ht="12">
      <c r="A69" s="5"/>
      <c r="B69" s="9"/>
      <c r="C69" s="5"/>
      <c r="D69" s="5"/>
      <c r="E69" s="5"/>
      <c r="F69" s="5"/>
      <c r="G69" s="5"/>
      <c r="H69" s="99" t="s">
        <v>125</v>
      </c>
      <c r="I69" s="107"/>
      <c r="J69" s="194">
        <f>IF(J53=2,C37,0)</f>
        <v>0</v>
      </c>
      <c r="K69" s="28"/>
      <c r="L69" s="195"/>
      <c r="M69" s="28"/>
      <c r="N69" s="28"/>
      <c r="O69" s="28"/>
      <c r="P69" s="28"/>
      <c r="Q69" s="28"/>
    </row>
    <row r="70" spans="1:17" ht="12">
      <c r="A70" s="5"/>
      <c r="B70" s="9"/>
      <c r="C70" s="5"/>
      <c r="D70" s="5"/>
      <c r="E70" s="5"/>
      <c r="F70" s="5"/>
      <c r="G70" s="5"/>
      <c r="H70" s="99" t="s">
        <v>126</v>
      </c>
      <c r="I70" s="107"/>
      <c r="J70" s="194">
        <f>IF(J53=2,C39,0)</f>
        <v>0</v>
      </c>
      <c r="K70" s="192"/>
      <c r="L70" s="192"/>
      <c r="M70" s="28"/>
      <c r="N70" s="28"/>
      <c r="O70" s="28"/>
      <c r="P70" s="28"/>
      <c r="Q70" s="28"/>
    </row>
    <row r="71" spans="1:17" ht="12">
      <c r="A71" s="5"/>
      <c r="B71" s="9"/>
      <c r="C71" s="5"/>
      <c r="D71" s="5"/>
      <c r="E71" s="5"/>
      <c r="F71" s="5"/>
      <c r="G71" s="5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2">
      <c r="A72" s="5"/>
      <c r="B72" s="9"/>
      <c r="C72" s="5"/>
      <c r="D72" s="5"/>
      <c r="E72" s="5"/>
      <c r="F72" s="5"/>
      <c r="G72" s="5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2">
      <c r="A73" s="5"/>
      <c r="B73" s="9"/>
      <c r="C73" s="5"/>
      <c r="D73" s="5"/>
      <c r="E73" s="5"/>
      <c r="F73" s="5"/>
      <c r="G73" s="5"/>
      <c r="H73" s="99" t="s">
        <v>117</v>
      </c>
      <c r="I73" s="106"/>
      <c r="J73" s="173"/>
      <c r="K73" s="196"/>
      <c r="L73" s="137">
        <f>IF(J53=2,1,0)</f>
        <v>1</v>
      </c>
      <c r="M73" s="28"/>
      <c r="N73" s="28"/>
      <c r="O73" s="28"/>
      <c r="P73" s="28"/>
      <c r="Q73" s="28"/>
    </row>
    <row r="74" spans="1:17" ht="12">
      <c r="A74" s="5"/>
      <c r="B74" s="9"/>
      <c r="C74" s="5"/>
      <c r="D74" s="5"/>
      <c r="E74" s="5"/>
      <c r="F74" s="5"/>
      <c r="G74" s="5"/>
      <c r="H74" s="70" t="s">
        <v>127</v>
      </c>
      <c r="I74" s="64"/>
      <c r="J74" s="136">
        <v>95000</v>
      </c>
      <c r="K74" s="136">
        <f>IF(J67&gt;1,(J67-1)*15000,0)</f>
        <v>0</v>
      </c>
      <c r="L74" s="176">
        <f>J74+K74</f>
        <v>95000</v>
      </c>
      <c r="M74" s="28"/>
      <c r="N74" s="28"/>
      <c r="O74" s="28"/>
      <c r="P74" s="28"/>
      <c r="Q74" s="28"/>
    </row>
    <row r="75" spans="1:17" ht="12">
      <c r="A75" s="5"/>
      <c r="B75" s="9"/>
      <c r="C75" s="5"/>
      <c r="D75" s="5"/>
      <c r="E75" s="5"/>
      <c r="F75" s="5"/>
      <c r="G75" s="5"/>
      <c r="H75" s="177" t="s">
        <v>128</v>
      </c>
      <c r="I75" s="178"/>
      <c r="J75" s="136">
        <f>IF(J68=0,0,100*J68)</f>
        <v>0</v>
      </c>
      <c r="K75" s="136">
        <f>220*J69</f>
        <v>0</v>
      </c>
      <c r="L75" s="176">
        <f>IF(J67&gt;3,J67*200,0)</f>
        <v>0</v>
      </c>
      <c r="M75" s="28"/>
      <c r="N75" s="28"/>
      <c r="O75" s="28"/>
      <c r="P75" s="28"/>
      <c r="Q75" s="28"/>
    </row>
    <row r="76" spans="1:17" ht="12">
      <c r="A76" s="5"/>
      <c r="B76" s="9"/>
      <c r="C76" s="5"/>
      <c r="D76" s="5"/>
      <c r="E76" s="5"/>
      <c r="F76" s="5"/>
      <c r="G76" s="5"/>
      <c r="H76" s="98" t="s">
        <v>129</v>
      </c>
      <c r="I76" s="66"/>
      <c r="J76" s="136">
        <f>800*J67+J75+K75+L75</f>
        <v>0</v>
      </c>
      <c r="K76" s="182">
        <f>ROUND((L74-C16)/L74,4)</f>
        <v>0.9641</v>
      </c>
      <c r="L76" s="176">
        <f>IF(K76&gt;1,J76,J76*K76)</f>
        <v>0</v>
      </c>
      <c r="M76" s="28"/>
      <c r="N76" s="28"/>
      <c r="O76" s="28"/>
      <c r="P76" s="28"/>
      <c r="Q76" s="28"/>
    </row>
    <row r="77" spans="1:17" ht="12.75">
      <c r="A77" s="5"/>
      <c r="B77" s="9"/>
      <c r="C77" s="5"/>
      <c r="D77" s="5"/>
      <c r="E77" s="5"/>
      <c r="F77" s="5"/>
      <c r="G77" s="5"/>
      <c r="H77" s="132" t="s">
        <v>103</v>
      </c>
      <c r="I77" s="183"/>
      <c r="J77" s="119">
        <f>K77*L73</f>
        <v>0</v>
      </c>
      <c r="K77" s="187">
        <f>IF(C16&gt;L74,0,L76)</f>
        <v>0</v>
      </c>
      <c r="L77" s="119">
        <f>J77/12</f>
        <v>0</v>
      </c>
      <c r="M77" s="28"/>
      <c r="N77" s="28"/>
      <c r="O77" s="28"/>
      <c r="P77" s="28"/>
      <c r="Q77" s="28"/>
    </row>
    <row r="78" spans="1:17" ht="12">
      <c r="A78" s="5"/>
      <c r="B78" s="9"/>
      <c r="C78" s="5"/>
      <c r="D78" s="5"/>
      <c r="E78" s="5"/>
      <c r="F78" s="5"/>
      <c r="G78" s="5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2">
      <c r="A79" s="5"/>
      <c r="B79" s="9" t="s">
        <v>0</v>
      </c>
      <c r="C79" s="5"/>
      <c r="D79" s="5"/>
      <c r="E79" s="5"/>
      <c r="F79" s="5"/>
      <c r="G79" s="5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2">
      <c r="A80" s="5"/>
      <c r="B80" s="9" t="s">
        <v>0</v>
      </c>
      <c r="C80" s="5"/>
      <c r="D80" s="5"/>
      <c r="E80" s="5"/>
      <c r="F80" s="5"/>
      <c r="G80" s="5"/>
      <c r="H80" s="99" t="s">
        <v>66</v>
      </c>
      <c r="I80" s="106"/>
      <c r="J80" s="173"/>
      <c r="K80" s="133"/>
      <c r="L80" s="134"/>
      <c r="M80" s="28"/>
      <c r="N80" s="28"/>
      <c r="O80" s="28"/>
      <c r="P80" s="28"/>
      <c r="Q80" s="28"/>
    </row>
    <row r="81" spans="1:17" ht="12">
      <c r="A81" s="5"/>
      <c r="B81" s="9" t="s">
        <v>0</v>
      </c>
      <c r="C81" s="5"/>
      <c r="D81" s="5"/>
      <c r="E81" s="5"/>
      <c r="F81" s="5"/>
      <c r="G81" s="5"/>
      <c r="H81" s="177" t="s">
        <v>123</v>
      </c>
      <c r="I81" s="178"/>
      <c r="J81" s="136">
        <v>750</v>
      </c>
      <c r="K81" s="182">
        <f>ROUND((80000-C16)/80000,4)</f>
        <v>0.9574</v>
      </c>
      <c r="L81" s="176">
        <f>IF(K81&gt;1,J81,J81*K81)</f>
        <v>718.0500000000001</v>
      </c>
      <c r="M81" s="28"/>
      <c r="N81" s="28"/>
      <c r="O81" s="28"/>
      <c r="P81" s="28"/>
      <c r="Q81" s="28"/>
    </row>
    <row r="82" spans="1:17" ht="12.75">
      <c r="A82" s="5"/>
      <c r="B82" s="9" t="s">
        <v>0</v>
      </c>
      <c r="C82" s="5"/>
      <c r="D82" s="5"/>
      <c r="E82" s="5"/>
      <c r="F82" s="5"/>
      <c r="G82" s="5"/>
      <c r="H82" s="132" t="s">
        <v>103</v>
      </c>
      <c r="I82" s="183"/>
      <c r="J82" s="119">
        <f>K82*(J70+J93)</f>
        <v>0</v>
      </c>
      <c r="K82" s="187">
        <f>L81*(J70+J93)</f>
        <v>0</v>
      </c>
      <c r="L82" s="119">
        <f>J82/12</f>
        <v>0</v>
      </c>
      <c r="M82" s="28"/>
      <c r="N82" s="28"/>
      <c r="O82" s="28"/>
      <c r="P82" s="28"/>
      <c r="Q82" s="28"/>
    </row>
    <row r="83" spans="1:17" ht="12">
      <c r="A83" s="5"/>
      <c r="B83" s="9" t="s">
        <v>0</v>
      </c>
      <c r="C83" s="5"/>
      <c r="D83" s="5"/>
      <c r="E83" s="5"/>
      <c r="F83" s="5"/>
      <c r="G83" s="5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2">
      <c r="A84" s="5"/>
      <c r="B84" s="9" t="s">
        <v>0</v>
      </c>
      <c r="C84" s="5"/>
      <c r="D84" s="5"/>
      <c r="E84" s="5"/>
      <c r="F84" s="5"/>
      <c r="G84" s="5"/>
      <c r="H84" s="18"/>
      <c r="I84" s="18"/>
      <c r="J84" s="18"/>
      <c r="K84" s="18"/>
      <c r="L84" s="59"/>
      <c r="M84" s="18"/>
      <c r="N84" s="18"/>
      <c r="O84" s="18"/>
      <c r="P84" s="18"/>
      <c r="Q84" s="18"/>
    </row>
    <row r="85" spans="1:17" ht="12">
      <c r="A85" s="5"/>
      <c r="B85" s="9" t="s">
        <v>0</v>
      </c>
      <c r="C85" s="5"/>
      <c r="D85" s="5"/>
      <c r="E85" s="5"/>
      <c r="F85" s="5"/>
      <c r="G85" s="5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2.75">
      <c r="A86" s="5"/>
      <c r="B86" s="9" t="s">
        <v>0</v>
      </c>
      <c r="C86" s="5"/>
      <c r="D86" s="5"/>
      <c r="E86" s="5"/>
      <c r="F86" s="5"/>
      <c r="G86" s="5"/>
      <c r="H86" s="61" t="s">
        <v>130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2">
      <c r="A87" s="5"/>
      <c r="B87" s="9" t="s">
        <v>0</v>
      </c>
      <c r="C87" s="5"/>
      <c r="D87" s="5"/>
      <c r="E87" s="5"/>
      <c r="F87" s="5"/>
      <c r="G87" s="5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2">
      <c r="A88" s="5"/>
      <c r="B88" s="9" t="s">
        <v>0</v>
      </c>
      <c r="C88" s="5"/>
      <c r="D88" s="5"/>
      <c r="E88" s="5"/>
      <c r="F88" s="5"/>
      <c r="G88" s="5"/>
      <c r="H88" s="99" t="s">
        <v>131</v>
      </c>
      <c r="I88" s="107"/>
      <c r="J88" s="194">
        <f>IF(J53=1,C52,0)</f>
        <v>0</v>
      </c>
      <c r="K88" s="28"/>
      <c r="L88" s="28"/>
      <c r="M88" s="28"/>
      <c r="N88" s="28"/>
      <c r="O88" s="28"/>
      <c r="P88" s="28"/>
      <c r="Q88" s="28"/>
    </row>
    <row r="89" spans="1:17" ht="12">
      <c r="A89" s="5"/>
      <c r="B89" s="9" t="s">
        <v>0</v>
      </c>
      <c r="C89" s="5"/>
      <c r="D89" s="5"/>
      <c r="E89" s="5"/>
      <c r="F89" s="5"/>
      <c r="G89" s="5"/>
      <c r="H89" s="99" t="s">
        <v>132</v>
      </c>
      <c r="I89" s="107"/>
      <c r="J89" s="194">
        <f>B48</f>
        <v>0</v>
      </c>
      <c r="K89" s="28"/>
      <c r="L89" s="28"/>
      <c r="M89" s="28"/>
      <c r="N89" s="28"/>
      <c r="O89" s="28"/>
      <c r="P89" s="28"/>
      <c r="Q89" s="28"/>
    </row>
    <row r="90" spans="1:17" ht="12">
      <c r="A90" s="5"/>
      <c r="B90" s="9" t="s">
        <v>0</v>
      </c>
      <c r="C90" s="5"/>
      <c r="D90" s="5"/>
      <c r="E90" s="5"/>
      <c r="F90" s="5"/>
      <c r="G90" s="5"/>
      <c r="H90" s="99" t="s">
        <v>133</v>
      </c>
      <c r="I90" s="107"/>
      <c r="J90" s="194">
        <f>B49</f>
        <v>0</v>
      </c>
      <c r="K90" s="28"/>
      <c r="L90" s="28"/>
      <c r="M90" s="28"/>
      <c r="N90" s="28"/>
      <c r="O90" s="28"/>
      <c r="P90" s="28"/>
      <c r="Q90" s="28"/>
    </row>
    <row r="91" spans="1:17" ht="12">
      <c r="A91" s="5"/>
      <c r="B91" s="9" t="s">
        <v>0</v>
      </c>
      <c r="C91" s="5"/>
      <c r="D91" s="5"/>
      <c r="E91" s="5"/>
      <c r="F91" s="5"/>
      <c r="G91" s="5"/>
      <c r="H91" s="99" t="s">
        <v>134</v>
      </c>
      <c r="I91" s="107"/>
      <c r="J91" s="194">
        <f>IF(J53=1,C53,0)</f>
        <v>0</v>
      </c>
      <c r="K91" s="28"/>
      <c r="L91" s="28"/>
      <c r="M91" s="28"/>
      <c r="N91" s="28"/>
      <c r="O91" s="28"/>
      <c r="P91" s="28"/>
      <c r="Q91" s="28"/>
    </row>
    <row r="92" spans="1:17" ht="12">
      <c r="A92" s="5"/>
      <c r="B92" s="9" t="s">
        <v>0</v>
      </c>
      <c r="C92" s="5"/>
      <c r="D92" s="5"/>
      <c r="E92" s="5"/>
      <c r="F92" s="5"/>
      <c r="G92" s="5"/>
      <c r="H92" s="99" t="s">
        <v>135</v>
      </c>
      <c r="I92" s="107"/>
      <c r="J92" s="194">
        <f>IF(J53=1,C54,0)</f>
        <v>0</v>
      </c>
      <c r="K92" s="28"/>
      <c r="L92" s="28"/>
      <c r="M92" s="28"/>
      <c r="N92" s="28"/>
      <c r="O92" s="28"/>
      <c r="P92" s="28"/>
      <c r="Q92" s="28"/>
    </row>
    <row r="93" spans="1:17" ht="12">
      <c r="A93" s="5"/>
      <c r="B93" s="9"/>
      <c r="C93" s="5"/>
      <c r="D93" s="5"/>
      <c r="E93" s="5"/>
      <c r="F93" s="5"/>
      <c r="G93" s="5"/>
      <c r="H93" s="99" t="s">
        <v>100</v>
      </c>
      <c r="I93" s="107"/>
      <c r="J93" s="194">
        <f>IF(J53=1,C56,0)</f>
        <v>0</v>
      </c>
      <c r="K93" s="28"/>
      <c r="L93" s="28"/>
      <c r="M93" s="28"/>
      <c r="N93" s="28"/>
      <c r="O93" s="28"/>
      <c r="P93" s="28"/>
      <c r="Q93" s="28"/>
    </row>
    <row r="94" spans="1:17" ht="12">
      <c r="A94" s="5"/>
      <c r="B94" s="9"/>
      <c r="C94" s="5"/>
      <c r="D94" s="5"/>
      <c r="E94" s="5"/>
      <c r="F94" s="5"/>
      <c r="G94" s="5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2">
      <c r="A95" s="5"/>
      <c r="B95" s="9" t="s">
        <v>0</v>
      </c>
      <c r="C95" s="5"/>
      <c r="D95" s="5"/>
      <c r="E95" s="5"/>
      <c r="F95" s="5"/>
      <c r="G95" s="5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2">
      <c r="A96" s="5"/>
      <c r="B96" s="9" t="s">
        <v>0</v>
      </c>
      <c r="C96" s="5"/>
      <c r="D96" s="5"/>
      <c r="E96" s="5"/>
      <c r="F96" s="5"/>
      <c r="G96" s="5"/>
      <c r="H96" s="99" t="s">
        <v>136</v>
      </c>
      <c r="I96" s="106"/>
      <c r="J96" s="173"/>
      <c r="K96" s="133"/>
      <c r="L96" s="137">
        <f>IF(J88&gt;0,1,0)</f>
        <v>0</v>
      </c>
      <c r="M96" s="28"/>
      <c r="N96" s="28"/>
      <c r="O96" s="28"/>
      <c r="P96" s="28"/>
      <c r="Q96" s="28"/>
    </row>
    <row r="97" spans="1:17" ht="12">
      <c r="A97" s="5"/>
      <c r="B97" s="9" t="s">
        <v>0</v>
      </c>
      <c r="C97" s="5"/>
      <c r="D97" s="5"/>
      <c r="E97" s="5"/>
      <c r="F97" s="5"/>
      <c r="G97" s="5"/>
      <c r="H97" s="70" t="s">
        <v>127</v>
      </c>
      <c r="I97" s="64"/>
      <c r="J97" s="136">
        <v>95000</v>
      </c>
      <c r="K97" s="136">
        <f>IF(J88&gt;1,(J88-1)*15000,0)</f>
        <v>0</v>
      </c>
      <c r="L97" s="176">
        <f>J97+K97</f>
        <v>95000</v>
      </c>
      <c r="M97" s="28"/>
      <c r="N97" s="28"/>
      <c r="O97" s="28"/>
      <c r="P97" s="28"/>
      <c r="Q97" s="28"/>
    </row>
    <row r="98" spans="1:17" ht="12">
      <c r="A98" s="5"/>
      <c r="B98" s="9" t="s">
        <v>0</v>
      </c>
      <c r="C98" s="5"/>
      <c r="D98" s="5"/>
      <c r="E98" s="5"/>
      <c r="F98" s="5"/>
      <c r="G98" s="5"/>
      <c r="H98" s="177" t="s">
        <v>128</v>
      </c>
      <c r="I98" s="178"/>
      <c r="J98" s="136">
        <f>IF(J89=0,0,100)</f>
        <v>0</v>
      </c>
      <c r="K98" s="136">
        <f>220*J90</f>
        <v>0</v>
      </c>
      <c r="L98" s="176">
        <f>IF(J88&gt;3,J88*200,0)</f>
        <v>0</v>
      </c>
      <c r="M98" s="28"/>
      <c r="N98" s="28"/>
      <c r="O98" s="28"/>
      <c r="P98" s="28"/>
      <c r="Q98" s="28"/>
    </row>
    <row r="99" spans="1:17" ht="12">
      <c r="A99" s="5"/>
      <c r="B99" s="9" t="s">
        <v>0</v>
      </c>
      <c r="C99" s="5"/>
      <c r="D99" s="5"/>
      <c r="E99" s="5"/>
      <c r="F99" s="5"/>
      <c r="G99" s="5"/>
      <c r="H99" s="98" t="s">
        <v>129</v>
      </c>
      <c r="I99" s="66"/>
      <c r="J99" s="136">
        <f>800+J98+K98+L98</f>
        <v>800</v>
      </c>
      <c r="K99" s="182">
        <f>ROUND((L97-C16)/L97,4)</f>
        <v>0.9641</v>
      </c>
      <c r="L99" s="176">
        <f>IF(K99&gt;1,J99,J99*K99)</f>
        <v>771.28</v>
      </c>
      <c r="M99" s="28"/>
      <c r="N99" s="28"/>
      <c r="O99" s="28"/>
      <c r="P99" s="28"/>
      <c r="Q99" s="28"/>
    </row>
    <row r="100" spans="1:17" ht="12.75">
      <c r="A100" s="5"/>
      <c r="B100" s="9" t="s">
        <v>0</v>
      </c>
      <c r="C100" s="5"/>
      <c r="D100" s="5"/>
      <c r="E100" s="5"/>
      <c r="F100" s="5"/>
      <c r="G100" s="5"/>
      <c r="H100" s="132" t="s">
        <v>103</v>
      </c>
      <c r="I100" s="183"/>
      <c r="J100" s="187">
        <f>K100*L96</f>
        <v>0</v>
      </c>
      <c r="K100" s="187">
        <f>IF(C16&gt;L97,0,L99)</f>
        <v>771.28</v>
      </c>
      <c r="L100" s="187">
        <f>J100/12</f>
        <v>0</v>
      </c>
      <c r="M100" s="28"/>
      <c r="N100" s="28"/>
      <c r="O100" s="28"/>
      <c r="P100" s="28"/>
      <c r="Q100" s="28"/>
    </row>
    <row r="101" spans="1:17" ht="12.75">
      <c r="A101" s="5"/>
      <c r="B101" s="9" t="s">
        <v>0</v>
      </c>
      <c r="C101" s="5"/>
      <c r="D101" s="5"/>
      <c r="E101" s="5"/>
      <c r="F101" s="5"/>
      <c r="G101" s="5"/>
      <c r="H101" s="132" t="s">
        <v>137</v>
      </c>
      <c r="I101" s="107"/>
      <c r="J101" s="119">
        <f>IF(K101&gt;K100,K101*L96,K100*L96)</f>
        <v>0</v>
      </c>
      <c r="K101" s="197">
        <f>K64</f>
        <v>775.0114951844798</v>
      </c>
      <c r="L101" s="119">
        <f>J101/12</f>
        <v>0</v>
      </c>
      <c r="M101" s="28"/>
      <c r="N101" s="28"/>
      <c r="O101" s="28"/>
      <c r="P101" s="28"/>
      <c r="Q101" s="28"/>
    </row>
    <row r="102" spans="1:17" ht="12">
      <c r="A102" s="5"/>
      <c r="B102" s="9"/>
      <c r="C102" s="5"/>
      <c r="D102" s="5"/>
      <c r="E102" s="5"/>
      <c r="F102" s="5"/>
      <c r="G102" s="5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2">
      <c r="A103" s="5"/>
      <c r="B103" s="9"/>
      <c r="C103" s="5"/>
      <c r="D103" s="5"/>
      <c r="E103" s="5"/>
      <c r="F103" s="5"/>
      <c r="G103" s="5"/>
      <c r="H103" s="99" t="s">
        <v>138</v>
      </c>
      <c r="I103" s="106"/>
      <c r="J103" s="140">
        <f>IF(K101&gt;K100,1,0)</f>
        <v>1</v>
      </c>
      <c r="K103" s="140">
        <f>IF(J88&gt;0,J88-1,0)</f>
        <v>0</v>
      </c>
      <c r="L103" s="137">
        <f>IF(J88&gt;1,1,0)</f>
        <v>0</v>
      </c>
      <c r="M103" s="28"/>
      <c r="N103" s="28"/>
      <c r="O103" s="28"/>
      <c r="P103" s="28"/>
      <c r="Q103" s="28"/>
    </row>
    <row r="104" spans="1:17" ht="12">
      <c r="A104" s="5"/>
      <c r="B104" s="9"/>
      <c r="C104" s="5"/>
      <c r="D104" s="5"/>
      <c r="E104" s="5"/>
      <c r="F104" s="5"/>
      <c r="G104" s="5"/>
      <c r="H104" s="70" t="s">
        <v>127</v>
      </c>
      <c r="I104" s="152"/>
      <c r="J104" s="136">
        <v>95000</v>
      </c>
      <c r="K104" s="136">
        <f>IF(J88&gt;1,(J88-1-J103)*15000,0)</f>
        <v>0</v>
      </c>
      <c r="L104" s="176">
        <f>J104+K104</f>
        <v>95000</v>
      </c>
      <c r="M104" s="28"/>
      <c r="N104" s="28"/>
      <c r="O104" s="28"/>
      <c r="P104" s="28"/>
      <c r="Q104" s="28"/>
    </row>
    <row r="105" spans="1:17" ht="12">
      <c r="A105" s="5"/>
      <c r="B105" s="9" t="s">
        <v>0</v>
      </c>
      <c r="C105" s="5"/>
      <c r="D105" s="5"/>
      <c r="E105" s="5"/>
      <c r="F105" s="5"/>
      <c r="G105" s="5"/>
      <c r="H105" s="177" t="s">
        <v>128</v>
      </c>
      <c r="I105" s="178"/>
      <c r="J105" s="136">
        <f>IF(J91=0,0,100*J91)</f>
        <v>0</v>
      </c>
      <c r="K105" s="136">
        <f>220*J92</f>
        <v>0</v>
      </c>
      <c r="L105" s="176">
        <f>IF(J88&gt;3,J88*200,0)</f>
        <v>0</v>
      </c>
      <c r="M105" s="28"/>
      <c r="N105" s="28"/>
      <c r="O105" s="28"/>
      <c r="P105" s="28"/>
      <c r="Q105" s="28"/>
    </row>
    <row r="106" spans="1:17" ht="12">
      <c r="A106" s="5"/>
      <c r="B106" s="9" t="s">
        <v>0</v>
      </c>
      <c r="C106" s="5"/>
      <c r="D106" s="5"/>
      <c r="E106" s="5"/>
      <c r="F106" s="5"/>
      <c r="G106" s="5"/>
      <c r="H106" s="98" t="s">
        <v>129</v>
      </c>
      <c r="I106" s="66"/>
      <c r="J106" s="136">
        <f>800*K103+J105+K105+L105</f>
        <v>0</v>
      </c>
      <c r="K106" s="182">
        <f>ROUND((L104-C16)/L104,4)</f>
        <v>0.9641</v>
      </c>
      <c r="L106" s="176">
        <f>IF(K106&gt;1,J106,J106*K106)</f>
        <v>0</v>
      </c>
      <c r="M106" s="28"/>
      <c r="N106" s="28"/>
      <c r="O106" s="28"/>
      <c r="P106" s="28"/>
      <c r="Q106" s="28"/>
    </row>
    <row r="107" spans="1:17" ht="12.75">
      <c r="A107" s="5"/>
      <c r="B107" s="9" t="s">
        <v>0</v>
      </c>
      <c r="C107" s="5"/>
      <c r="D107" s="5"/>
      <c r="E107" s="5"/>
      <c r="F107" s="5"/>
      <c r="G107" s="5"/>
      <c r="H107" s="132" t="s">
        <v>103</v>
      </c>
      <c r="I107" s="183"/>
      <c r="J107" s="119">
        <f>K107*L103</f>
        <v>0</v>
      </c>
      <c r="K107" s="187">
        <f>IF(C16&gt;L104,0,L106)</f>
        <v>0</v>
      </c>
      <c r="L107" s="119">
        <f>J107/12</f>
        <v>0</v>
      </c>
      <c r="M107" s="28"/>
      <c r="N107" s="28"/>
      <c r="O107" s="28"/>
      <c r="P107" s="28"/>
      <c r="Q107" s="28"/>
    </row>
    <row r="108" spans="1:17" ht="12">
      <c r="A108" s="5"/>
      <c r="B108" s="9" t="s">
        <v>0</v>
      </c>
      <c r="C108" s="5"/>
      <c r="D108" s="5"/>
      <c r="E108" s="5"/>
      <c r="F108" s="5"/>
      <c r="G108" s="5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2">
      <c r="A109" s="5"/>
      <c r="B109" s="9" t="s">
        <v>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">
      <c r="A110" s="5"/>
      <c r="B110" s="9" t="s">
        <v>0</v>
      </c>
      <c r="C110" s="5"/>
      <c r="D110" s="5"/>
      <c r="E110" s="5"/>
      <c r="F110" s="5"/>
      <c r="G110" s="5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2">
      <c r="A111" s="5"/>
      <c r="B111" s="9" t="s">
        <v>0</v>
      </c>
      <c r="C111" s="5"/>
      <c r="D111" s="5"/>
      <c r="E111" s="5"/>
      <c r="F111" s="5"/>
      <c r="G111" s="5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2">
      <c r="A112" s="5"/>
      <c r="B112" s="9" t="s">
        <v>0</v>
      </c>
      <c r="C112" s="5"/>
      <c r="D112" s="5"/>
      <c r="E112" s="5"/>
      <c r="F112" s="5"/>
      <c r="G112" s="5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2">
      <c r="A113" s="5"/>
      <c r="B113" s="9" t="s">
        <v>0</v>
      </c>
      <c r="C113" s="5"/>
      <c r="D113" s="5"/>
      <c r="E113" s="5"/>
      <c r="F113" s="5"/>
      <c r="G113" s="5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2">
      <c r="A114" s="5"/>
      <c r="B114" s="9" t="s">
        <v>0</v>
      </c>
      <c r="C114" s="5"/>
      <c r="D114" s="5"/>
      <c r="E114" s="5"/>
      <c r="F114" s="5"/>
      <c r="G114" s="5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2">
      <c r="A115" s="5"/>
      <c r="B115" s="9" t="s">
        <v>0</v>
      </c>
      <c r="C115" s="5"/>
      <c r="D115" s="5"/>
      <c r="E115" s="5"/>
      <c r="F115" s="5"/>
      <c r="G115" s="5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2">
      <c r="A116" s="5"/>
      <c r="B116" s="9" t="s">
        <v>0</v>
      </c>
      <c r="C116" s="5"/>
      <c r="D116" s="5"/>
      <c r="E116" s="5"/>
      <c r="F116" s="5"/>
      <c r="G116" s="5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2">
      <c r="A117" s="5"/>
      <c r="B117" s="9" t="s">
        <v>0</v>
      </c>
      <c r="C117" s="5"/>
      <c r="D117" s="5"/>
      <c r="E117" s="5"/>
      <c r="F117" s="5"/>
      <c r="G117" s="5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2">
      <c r="A118" s="5"/>
      <c r="B118" s="9" t="s">
        <v>0</v>
      </c>
      <c r="C118" s="5"/>
      <c r="D118" s="5"/>
      <c r="E118" s="5"/>
      <c r="F118" s="5"/>
      <c r="G118" s="5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2">
      <c r="A119" s="5"/>
      <c r="B119" s="9"/>
      <c r="C119" s="5"/>
      <c r="D119" s="5"/>
      <c r="E119" s="5"/>
      <c r="F119" s="5"/>
      <c r="G119" s="5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2">
      <c r="A120" s="5"/>
      <c r="B120" s="9" t="s">
        <v>0</v>
      </c>
      <c r="C120" s="5"/>
      <c r="D120" s="5"/>
      <c r="E120" s="5"/>
      <c r="F120" s="5"/>
      <c r="G120" s="5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2">
      <c r="A121" s="5"/>
      <c r="B121" s="9" t="s">
        <v>0</v>
      </c>
      <c r="C121" s="5"/>
      <c r="D121" s="5"/>
      <c r="E121" s="5"/>
      <c r="F121" s="5"/>
      <c r="G121" s="5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2">
      <c r="A122" s="5"/>
      <c r="B122" s="9" t="s">
        <v>0</v>
      </c>
      <c r="C122" s="5"/>
      <c r="D122" s="5"/>
      <c r="E122" s="5"/>
      <c r="F122" s="5"/>
      <c r="G122" s="5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2">
      <c r="A123" s="5"/>
      <c r="B123" s="9" t="s">
        <v>0</v>
      </c>
      <c r="C123" s="5"/>
      <c r="D123" s="5"/>
      <c r="E123" s="5"/>
      <c r="F123" s="5"/>
      <c r="G123" s="5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2">
      <c r="A124" s="5"/>
      <c r="B124" s="9"/>
      <c r="C124" s="5"/>
      <c r="D124" s="5"/>
      <c r="E124" s="5"/>
      <c r="F124" s="5"/>
      <c r="G124" s="5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2">
      <c r="A125" s="5"/>
      <c r="B125" s="9"/>
      <c r="C125" s="5"/>
      <c r="D125" s="5"/>
      <c r="E125" s="5"/>
      <c r="F125" s="5"/>
      <c r="G125" s="5"/>
      <c r="H125" s="30" t="s">
        <v>1</v>
      </c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7" ht="12">
      <c r="A126" s="5"/>
      <c r="B126" s="9"/>
      <c r="C126" s="5"/>
      <c r="D126" s="5"/>
      <c r="E126" s="5"/>
      <c r="F126" s="5"/>
      <c r="G126" s="5"/>
    </row>
    <row r="127" spans="1:7" ht="12">
      <c r="A127" s="5"/>
      <c r="B127" s="9"/>
      <c r="C127" s="5"/>
      <c r="D127" s="5"/>
      <c r="E127" s="5"/>
      <c r="F127" s="5"/>
      <c r="G127" s="5"/>
    </row>
    <row r="128" spans="1:7" ht="12">
      <c r="A128" s="5"/>
      <c r="B128" s="9"/>
      <c r="C128" s="5"/>
      <c r="D128" s="5"/>
      <c r="E128" s="5"/>
      <c r="F128" s="5"/>
      <c r="G128" s="5"/>
    </row>
    <row r="129" spans="1:7" ht="12">
      <c r="A129" s="5"/>
      <c r="B129" s="9"/>
      <c r="C129" s="5"/>
      <c r="D129" s="5"/>
      <c r="E129" s="5"/>
      <c r="F129" s="5"/>
      <c r="G129" s="5"/>
    </row>
    <row r="130" spans="1:7" ht="12">
      <c r="A130" s="5"/>
      <c r="B130" s="9"/>
      <c r="C130" s="5"/>
      <c r="D130" s="5"/>
      <c r="E130" s="5"/>
      <c r="F130" s="5"/>
      <c r="G130" s="5"/>
    </row>
    <row r="131" spans="1:7" ht="12">
      <c r="A131" s="5"/>
      <c r="B131" s="9"/>
      <c r="C131" s="5"/>
      <c r="D131" s="5"/>
      <c r="E131" s="5"/>
      <c r="F131" s="5"/>
      <c r="G131" s="5"/>
    </row>
    <row r="132" spans="1:7" ht="12">
      <c r="A132" s="5"/>
      <c r="B132" s="9"/>
      <c r="C132" s="5"/>
      <c r="D132" s="5"/>
      <c r="E132" s="5"/>
      <c r="F132" s="5"/>
      <c r="G132" s="5"/>
    </row>
    <row r="133" spans="1:7" ht="12">
      <c r="A133" s="5"/>
      <c r="B133" s="9"/>
      <c r="C133" s="5"/>
      <c r="D133" s="5"/>
      <c r="E133" s="5"/>
      <c r="F133" s="5"/>
      <c r="G133" s="5"/>
    </row>
    <row r="134" spans="1:7" ht="12">
      <c r="A134" s="5"/>
      <c r="B134" s="9"/>
      <c r="C134" s="5"/>
      <c r="D134" s="5"/>
      <c r="E134" s="5"/>
      <c r="F134" s="5"/>
      <c r="G134" s="5"/>
    </row>
    <row r="135" spans="1:7" ht="12">
      <c r="A135" s="5"/>
      <c r="B135" s="9"/>
      <c r="C135" s="5"/>
      <c r="D135" s="5"/>
      <c r="E135" s="5"/>
      <c r="F135" s="5"/>
      <c r="G135" s="5"/>
    </row>
    <row r="136" spans="1:7" ht="12">
      <c r="A136" s="5"/>
      <c r="B136" s="9"/>
      <c r="C136" s="5"/>
      <c r="D136" s="5"/>
      <c r="E136" s="5"/>
      <c r="F136" s="5"/>
      <c r="G136" s="5"/>
    </row>
    <row r="137" spans="1:7" ht="12">
      <c r="A137" s="5"/>
      <c r="B137" s="9"/>
      <c r="C137" s="5"/>
      <c r="D137" s="5"/>
      <c r="E137" s="5"/>
      <c r="F137" s="5"/>
      <c r="G137" s="5"/>
    </row>
    <row r="138" spans="1:7" ht="12">
      <c r="A138" s="5"/>
      <c r="B138" s="9"/>
      <c r="C138" s="5"/>
      <c r="D138" s="5"/>
      <c r="E138" s="5"/>
      <c r="F138" s="5"/>
      <c r="G138" s="5"/>
    </row>
    <row r="139" spans="1:7" ht="12">
      <c r="A139" s="5"/>
      <c r="B139" s="9"/>
      <c r="C139" s="5"/>
      <c r="D139" s="5"/>
      <c r="E139" s="5"/>
      <c r="F139" s="5"/>
      <c r="G139" s="5"/>
    </row>
    <row r="140" spans="1:7" ht="12">
      <c r="A140" s="5"/>
      <c r="B140" s="9"/>
      <c r="C140" s="5"/>
      <c r="D140" s="5"/>
      <c r="E140" s="5"/>
      <c r="F140" s="5"/>
      <c r="G140" s="5"/>
    </row>
    <row r="141" spans="1:7" ht="12">
      <c r="A141" s="5"/>
      <c r="B141" s="9"/>
      <c r="C141" s="5"/>
      <c r="D141" s="5"/>
      <c r="E141" s="5"/>
      <c r="F141" s="5"/>
      <c r="G141" s="5"/>
    </row>
    <row r="142" spans="1:7" ht="12">
      <c r="A142" s="5"/>
      <c r="B142" s="9"/>
      <c r="C142" s="5"/>
      <c r="D142" s="5"/>
      <c r="E142" s="5"/>
      <c r="F142" s="5"/>
      <c r="G142" s="5"/>
    </row>
    <row r="143" spans="1:7" ht="12">
      <c r="A143" s="5"/>
      <c r="B143" s="9"/>
      <c r="C143" s="5"/>
      <c r="D143" s="5"/>
      <c r="E143" s="5"/>
      <c r="F143" s="5"/>
      <c r="G143" s="5"/>
    </row>
    <row r="144" spans="1:7" ht="12">
      <c r="A144" s="5"/>
      <c r="B144" s="9"/>
      <c r="C144" s="5"/>
      <c r="D144" s="5"/>
      <c r="E144" s="5"/>
      <c r="F144" s="5"/>
      <c r="G144" s="5"/>
    </row>
    <row r="145" spans="1:7" ht="12">
      <c r="A145" s="5"/>
      <c r="B145" s="9"/>
      <c r="C145" s="5"/>
      <c r="D145" s="5"/>
      <c r="E145" s="5"/>
      <c r="F145" s="5"/>
      <c r="G145" s="5"/>
    </row>
    <row r="146" spans="1:7" ht="12">
      <c r="A146" s="5"/>
      <c r="B146" s="9"/>
      <c r="C146" s="5"/>
      <c r="D146" s="5"/>
      <c r="E146" s="5"/>
      <c r="F146" s="5"/>
      <c r="G146" s="5"/>
    </row>
    <row r="147" spans="1:7" ht="12">
      <c r="A147" s="5"/>
      <c r="B147" s="9"/>
      <c r="C147" s="5"/>
      <c r="D147" s="5"/>
      <c r="E147" s="5"/>
      <c r="F147" s="5"/>
      <c r="G147" s="5"/>
    </row>
    <row r="148" spans="1:7" ht="12">
      <c r="A148" s="5"/>
      <c r="B148" s="9"/>
      <c r="C148" s="5"/>
      <c r="D148" s="5"/>
      <c r="E148" s="5"/>
      <c r="F148" s="5"/>
      <c r="G148" s="5"/>
    </row>
    <row r="149" spans="1:7" ht="12">
      <c r="A149" s="5"/>
      <c r="B149" s="9"/>
      <c r="C149" s="5"/>
      <c r="D149" s="5"/>
      <c r="E149" s="5"/>
      <c r="F149" s="5"/>
      <c r="G149" s="5"/>
    </row>
    <row r="150" spans="1:7" ht="12">
      <c r="A150" s="5"/>
      <c r="B150" s="9"/>
      <c r="C150" s="5"/>
      <c r="D150" s="5"/>
      <c r="E150" s="5"/>
      <c r="F150" s="5"/>
      <c r="G150" s="5"/>
    </row>
    <row r="151" spans="1:7" ht="12">
      <c r="A151" s="5"/>
      <c r="B151" s="9"/>
      <c r="C151" s="5"/>
      <c r="D151" s="5"/>
      <c r="E151" s="5"/>
      <c r="F151" s="5"/>
      <c r="G151" s="5"/>
    </row>
    <row r="152" spans="1:7" ht="12">
      <c r="A152" s="5"/>
      <c r="B152" s="9"/>
      <c r="C152" s="5"/>
      <c r="D152" s="5"/>
      <c r="E152" s="5"/>
      <c r="F152" s="5"/>
      <c r="G152" s="5"/>
    </row>
    <row r="153" spans="1:7" ht="12">
      <c r="A153" s="5"/>
      <c r="B153" s="9"/>
      <c r="C153" s="5"/>
      <c r="D153" s="5"/>
      <c r="E153" s="5"/>
      <c r="F153" s="5"/>
      <c r="G153" s="5"/>
    </row>
    <row r="154" spans="1:7" ht="12">
      <c r="A154" s="5"/>
      <c r="B154" s="9"/>
      <c r="C154" s="5"/>
      <c r="D154" s="5"/>
      <c r="E154" s="5"/>
      <c r="F154" s="5"/>
      <c r="G154" s="5"/>
    </row>
    <row r="155" spans="1:7" ht="12">
      <c r="A155" s="5"/>
      <c r="B155" s="9"/>
      <c r="C155" s="5"/>
      <c r="D155" s="5"/>
      <c r="E155" s="5"/>
      <c r="F155" s="5"/>
      <c r="G155" s="5"/>
    </row>
    <row r="156" spans="1:7" ht="12">
      <c r="A156" s="5"/>
      <c r="B156" s="9"/>
      <c r="C156" s="5"/>
      <c r="D156" s="5"/>
      <c r="E156" s="5"/>
      <c r="F156" s="5"/>
      <c r="G156" s="5"/>
    </row>
    <row r="157" spans="1:7" ht="12">
      <c r="A157" s="5"/>
      <c r="B157" s="9"/>
      <c r="C157" s="5"/>
      <c r="D157" s="5"/>
      <c r="E157" s="5"/>
      <c r="F157" s="5"/>
      <c r="G157" s="5"/>
    </row>
    <row r="158" spans="1:7" ht="12">
      <c r="A158" s="5"/>
      <c r="B158" s="9"/>
      <c r="C158" s="5"/>
      <c r="D158" s="5"/>
      <c r="E158" s="5"/>
      <c r="F158" s="5"/>
      <c r="G158" s="5"/>
    </row>
    <row r="159" spans="1:7" ht="12">
      <c r="A159" s="5"/>
      <c r="B159" s="9"/>
      <c r="C159" s="5"/>
      <c r="D159" s="5"/>
      <c r="E159" s="5"/>
      <c r="F159" s="5"/>
      <c r="G159" s="5"/>
    </row>
    <row r="160" spans="1:7" ht="12">
      <c r="A160" s="5"/>
      <c r="B160" s="9"/>
      <c r="C160" s="5"/>
      <c r="D160" s="5"/>
      <c r="E160" s="5"/>
      <c r="F160" s="5"/>
      <c r="G160" s="5"/>
    </row>
    <row r="161" spans="1:7" ht="12">
      <c r="A161" s="5"/>
      <c r="B161" s="9"/>
      <c r="C161" s="5"/>
      <c r="D161" s="5"/>
      <c r="E161" s="5"/>
      <c r="F161" s="5"/>
      <c r="G161" s="5"/>
    </row>
    <row r="162" spans="1:7" ht="12">
      <c r="A162" s="5"/>
      <c r="B162" s="9"/>
      <c r="C162" s="5"/>
      <c r="D162" s="5"/>
      <c r="E162" s="5"/>
      <c r="F162" s="5"/>
      <c r="G162" s="5"/>
    </row>
    <row r="163" spans="1:7" ht="12">
      <c r="A163" s="5"/>
      <c r="B163" s="9"/>
      <c r="C163" s="5"/>
      <c r="D163" s="5"/>
      <c r="E163" s="5"/>
      <c r="F163" s="5"/>
      <c r="G163" s="5"/>
    </row>
    <row r="164" spans="1:7" ht="12">
      <c r="A164" s="5"/>
      <c r="B164" s="9"/>
      <c r="C164" s="5"/>
      <c r="D164" s="5"/>
      <c r="E164" s="5"/>
      <c r="F164" s="5"/>
      <c r="G164" s="5"/>
    </row>
    <row r="165" spans="1:7" ht="12">
      <c r="A165" s="5"/>
      <c r="B165" s="9"/>
      <c r="C165" s="5"/>
      <c r="D165" s="5"/>
      <c r="E165" s="5"/>
      <c r="F165" s="5"/>
      <c r="G165" s="5"/>
    </row>
    <row r="166" spans="1:7" ht="12">
      <c r="A166" s="5"/>
      <c r="B166" s="9"/>
      <c r="C166" s="5"/>
      <c r="D166" s="5"/>
      <c r="E166" s="5"/>
      <c r="F166" s="5"/>
      <c r="G166" s="5"/>
    </row>
    <row r="167" spans="1:7" ht="12">
      <c r="A167" s="5"/>
      <c r="B167" s="9"/>
      <c r="C167" s="5"/>
      <c r="D167" s="5"/>
      <c r="E167" s="5"/>
      <c r="F167" s="5"/>
      <c r="G167" s="5"/>
    </row>
    <row r="168" spans="1:7" ht="12">
      <c r="A168" s="5"/>
      <c r="B168" s="9"/>
      <c r="C168" s="5"/>
      <c r="D168" s="5"/>
      <c r="E168" s="5"/>
      <c r="F168" s="5"/>
      <c r="G168" s="5"/>
    </row>
    <row r="169" spans="1:7" ht="12">
      <c r="A169" s="5"/>
      <c r="B169" s="9"/>
      <c r="C169" s="5"/>
      <c r="D169" s="5"/>
      <c r="E169" s="5"/>
      <c r="F169" s="5"/>
      <c r="G169" s="5"/>
    </row>
    <row r="170" spans="1:7" ht="12">
      <c r="A170" s="5"/>
      <c r="B170" s="9"/>
      <c r="C170" s="5"/>
      <c r="D170" s="5"/>
      <c r="E170" s="5"/>
      <c r="F170" s="5"/>
      <c r="G170" s="5"/>
    </row>
    <row r="171" spans="1:7" ht="12">
      <c r="A171" s="5"/>
      <c r="B171" s="9"/>
      <c r="C171" s="5"/>
      <c r="D171" s="5"/>
      <c r="E171" s="5"/>
      <c r="F171" s="5"/>
      <c r="G171" s="5"/>
    </row>
    <row r="172" spans="1:7" ht="12">
      <c r="A172" s="5"/>
      <c r="B172" s="9"/>
      <c r="C172" s="5"/>
      <c r="D172" s="5"/>
      <c r="E172" s="5"/>
      <c r="F172" s="5"/>
      <c r="G172" s="5"/>
    </row>
    <row r="173" spans="1:16" ht="12">
      <c r="A173" s="5"/>
      <c r="B173" s="9"/>
      <c r="C173" s="5"/>
      <c r="D173" s="5"/>
      <c r="E173" s="5"/>
      <c r="F173" s="5"/>
      <c r="G173" s="5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2.75">
      <c r="A174" s="5"/>
      <c r="B174" s="9"/>
      <c r="C174" s="5"/>
      <c r="D174" s="5"/>
      <c r="E174" s="5"/>
      <c r="F174" s="5"/>
      <c r="G174" s="5"/>
      <c r="H174" s="8"/>
      <c r="I174" s="8"/>
      <c r="J174" s="8"/>
      <c r="K174" s="8"/>
      <c r="L174" s="8"/>
      <c r="M174" s="8"/>
      <c r="N174" s="8"/>
      <c r="O174" s="12"/>
      <c r="P174" s="8"/>
    </row>
    <row r="175" spans="1:16" ht="12.75">
      <c r="A175" s="5"/>
      <c r="B175" s="9"/>
      <c r="C175" s="5"/>
      <c r="D175" s="5"/>
      <c r="E175" s="5"/>
      <c r="F175" s="5"/>
      <c r="G175" s="5"/>
      <c r="H175" s="8"/>
      <c r="I175" s="8"/>
      <c r="J175" s="8"/>
      <c r="K175" s="8"/>
      <c r="L175" s="8"/>
      <c r="M175" s="8"/>
      <c r="N175" s="8"/>
      <c r="O175" s="12"/>
      <c r="P175" s="8"/>
    </row>
    <row r="176" spans="1:16" ht="12.75">
      <c r="A176" s="5"/>
      <c r="B176" s="9"/>
      <c r="C176" s="5"/>
      <c r="D176" s="5"/>
      <c r="E176" s="5"/>
      <c r="F176" s="5"/>
      <c r="G176" s="5"/>
      <c r="H176" s="8"/>
      <c r="I176" s="8"/>
      <c r="J176" s="8"/>
      <c r="K176" s="8"/>
      <c r="L176" s="8"/>
      <c r="M176" s="8"/>
      <c r="N176" s="8"/>
      <c r="O176" s="12"/>
      <c r="P176" s="8"/>
    </row>
    <row r="177" spans="1:16" ht="12.75">
      <c r="A177" s="5"/>
      <c r="B177" s="9"/>
      <c r="C177" s="5"/>
      <c r="D177" s="5"/>
      <c r="E177" s="5"/>
      <c r="F177" s="5"/>
      <c r="G177" s="5"/>
      <c r="H177" s="8"/>
      <c r="I177" s="8"/>
      <c r="J177" s="8"/>
      <c r="K177" s="8"/>
      <c r="L177" s="8"/>
      <c r="M177" s="8"/>
      <c r="N177" s="8"/>
      <c r="O177" s="12"/>
      <c r="P177" s="8"/>
    </row>
    <row r="178" spans="1:16" ht="12.75">
      <c r="A178" s="5"/>
      <c r="B178" s="9"/>
      <c r="C178" s="5"/>
      <c r="D178" s="5"/>
      <c r="E178" s="5"/>
      <c r="F178" s="5"/>
      <c r="G178" s="5"/>
      <c r="H178" s="8"/>
      <c r="I178" s="8"/>
      <c r="J178" s="8"/>
      <c r="K178" s="8"/>
      <c r="L178" s="8"/>
      <c r="M178" s="8"/>
      <c r="N178" s="8"/>
      <c r="O178" s="12"/>
      <c r="P178" s="8"/>
    </row>
    <row r="179" spans="1:16" ht="12.75">
      <c r="A179" s="5"/>
      <c r="B179" s="9"/>
      <c r="C179" s="5"/>
      <c r="D179" s="5"/>
      <c r="E179" s="5"/>
      <c r="F179" s="5"/>
      <c r="G179" s="5"/>
      <c r="H179" s="8"/>
      <c r="I179" s="8"/>
      <c r="J179" s="8"/>
      <c r="K179" s="8"/>
      <c r="L179" s="8"/>
      <c r="M179" s="8"/>
      <c r="N179" s="8"/>
      <c r="O179" s="12"/>
      <c r="P179" s="8"/>
    </row>
    <row r="180" spans="1:16" ht="12.75">
      <c r="A180" s="5"/>
      <c r="B180" s="9"/>
      <c r="C180" s="5"/>
      <c r="D180" s="5"/>
      <c r="E180" s="5"/>
      <c r="F180" s="5"/>
      <c r="G180" s="5"/>
      <c r="H180" s="8"/>
      <c r="I180" s="8"/>
      <c r="J180" s="8"/>
      <c r="K180" s="8"/>
      <c r="L180" s="8"/>
      <c r="M180" s="8"/>
      <c r="N180" s="8"/>
      <c r="O180" s="12"/>
      <c r="P180" s="8"/>
    </row>
    <row r="181" spans="1:16" ht="12.75">
      <c r="A181" s="5"/>
      <c r="B181" s="9"/>
      <c r="C181" s="5"/>
      <c r="D181" s="5"/>
      <c r="E181" s="5"/>
      <c r="F181" s="5"/>
      <c r="G181" s="5"/>
      <c r="H181" s="8"/>
      <c r="I181" s="8"/>
      <c r="J181" s="8"/>
      <c r="K181" s="8"/>
      <c r="L181" s="8"/>
      <c r="M181" s="8"/>
      <c r="N181" s="8"/>
      <c r="O181" s="12"/>
      <c r="P181" s="8"/>
    </row>
    <row r="182" spans="1:16" ht="12.75">
      <c r="A182" s="5"/>
      <c r="B182" s="9"/>
      <c r="C182" s="5"/>
      <c r="D182" s="5"/>
      <c r="E182" s="5"/>
      <c r="F182" s="5"/>
      <c r="G182" s="5"/>
      <c r="H182" s="8"/>
      <c r="I182" s="8"/>
      <c r="J182" s="8"/>
      <c r="K182" s="8"/>
      <c r="L182" s="8"/>
      <c r="M182" s="8"/>
      <c r="N182" s="8"/>
      <c r="O182" s="12"/>
      <c r="P182" s="8"/>
    </row>
    <row r="183" spans="1:16" ht="12.75">
      <c r="A183" s="5"/>
      <c r="B183" s="9"/>
      <c r="C183" s="5"/>
      <c r="D183" s="5"/>
      <c r="E183" s="5"/>
      <c r="F183" s="5"/>
      <c r="G183" s="5"/>
      <c r="H183" s="8"/>
      <c r="I183" s="8"/>
      <c r="J183" s="8"/>
      <c r="K183" s="8"/>
      <c r="L183" s="8"/>
      <c r="M183" s="8"/>
      <c r="N183" s="8"/>
      <c r="O183" s="12"/>
      <c r="P183" s="8"/>
    </row>
    <row r="184" spans="1:16" ht="12.75">
      <c r="A184" s="5"/>
      <c r="B184" s="9"/>
      <c r="C184" s="5"/>
      <c r="D184" s="5"/>
      <c r="E184" s="5"/>
      <c r="F184" s="5"/>
      <c r="G184" s="5"/>
      <c r="H184" s="8"/>
      <c r="I184" s="8"/>
      <c r="J184" s="8"/>
      <c r="K184" s="8"/>
      <c r="L184" s="8"/>
      <c r="M184" s="8"/>
      <c r="N184" s="8"/>
      <c r="O184" s="12"/>
      <c r="P184" s="8"/>
    </row>
    <row r="185" spans="1:16" ht="12.75">
      <c r="A185" s="5"/>
      <c r="B185" s="9"/>
      <c r="C185" s="5"/>
      <c r="D185" s="5"/>
      <c r="E185" s="5"/>
      <c r="F185" s="5"/>
      <c r="G185" s="5"/>
      <c r="H185" s="8"/>
      <c r="I185" s="8"/>
      <c r="J185" s="8"/>
      <c r="K185" s="8"/>
      <c r="L185" s="8"/>
      <c r="M185" s="8"/>
      <c r="N185" s="8"/>
      <c r="O185" s="12"/>
      <c r="P185" s="8"/>
    </row>
    <row r="186" spans="1:16" ht="12.75">
      <c r="A186" s="5"/>
      <c r="B186" s="9"/>
      <c r="C186" s="5"/>
      <c r="D186" s="5"/>
      <c r="E186" s="5"/>
      <c r="F186" s="5"/>
      <c r="G186" s="5"/>
      <c r="H186" s="8"/>
      <c r="I186" s="8"/>
      <c r="J186" s="8"/>
      <c r="K186" s="8"/>
      <c r="L186" s="8"/>
      <c r="M186" s="8"/>
      <c r="N186" s="8"/>
      <c r="O186" s="12"/>
      <c r="P186" s="8"/>
    </row>
    <row r="187" spans="1:16" ht="12.75">
      <c r="A187" s="5"/>
      <c r="B187" s="9"/>
      <c r="C187" s="5"/>
      <c r="D187" s="5"/>
      <c r="E187" s="5"/>
      <c r="F187" s="5"/>
      <c r="G187" s="5"/>
      <c r="H187" s="8"/>
      <c r="I187" s="8"/>
      <c r="J187" s="8"/>
      <c r="K187" s="8"/>
      <c r="L187" s="8"/>
      <c r="M187" s="8"/>
      <c r="N187" s="8"/>
      <c r="O187" s="12"/>
      <c r="P187" s="8"/>
    </row>
    <row r="188" spans="1:16" ht="12.75">
      <c r="A188" s="5"/>
      <c r="B188" s="9"/>
      <c r="C188" s="5"/>
      <c r="D188" s="5"/>
      <c r="E188" s="5"/>
      <c r="F188" s="5"/>
      <c r="G188" s="5"/>
      <c r="H188" s="8"/>
      <c r="I188" s="8"/>
      <c r="J188" s="8"/>
      <c r="K188" s="8"/>
      <c r="L188" s="8"/>
      <c r="M188" s="8"/>
      <c r="N188" s="8"/>
      <c r="O188" s="12"/>
      <c r="P188" s="8"/>
    </row>
    <row r="189" spans="1:16" ht="12.75">
      <c r="A189" s="5"/>
      <c r="B189" s="9"/>
      <c r="C189" s="5"/>
      <c r="D189" s="5"/>
      <c r="E189" s="5"/>
      <c r="F189" s="5"/>
      <c r="G189" s="5"/>
      <c r="H189" s="8"/>
      <c r="I189" s="8"/>
      <c r="J189" s="8"/>
      <c r="K189" s="8"/>
      <c r="L189" s="8"/>
      <c r="M189" s="8"/>
      <c r="N189" s="8"/>
      <c r="O189" s="12"/>
      <c r="P189" s="8"/>
    </row>
    <row r="190" spans="1:16" ht="12.75">
      <c r="A190" s="5"/>
      <c r="B190" s="9"/>
      <c r="C190" s="5"/>
      <c r="D190" s="5"/>
      <c r="E190" s="5"/>
      <c r="F190" s="5"/>
      <c r="G190" s="5"/>
      <c r="H190" s="8"/>
      <c r="I190" s="8"/>
      <c r="J190" s="8"/>
      <c r="K190" s="8"/>
      <c r="L190" s="8"/>
      <c r="M190" s="8"/>
      <c r="N190" s="8"/>
      <c r="O190" s="12"/>
      <c r="P190" s="8"/>
    </row>
    <row r="191" spans="1:16" ht="12.75">
      <c r="A191" s="5"/>
      <c r="B191" s="9"/>
      <c r="C191" s="5"/>
      <c r="D191" s="5"/>
      <c r="E191" s="5"/>
      <c r="F191" s="5"/>
      <c r="G191" s="5"/>
      <c r="H191" s="8"/>
      <c r="I191" s="8"/>
      <c r="J191" s="8"/>
      <c r="K191" s="8"/>
      <c r="L191" s="8"/>
      <c r="M191" s="8"/>
      <c r="N191" s="8"/>
      <c r="O191" s="12"/>
      <c r="P191" s="8"/>
    </row>
    <row r="192" spans="1:16" ht="12.75">
      <c r="A192" s="5"/>
      <c r="B192" s="9"/>
      <c r="C192" s="5"/>
      <c r="D192" s="5"/>
      <c r="E192" s="5"/>
      <c r="F192" s="5"/>
      <c r="G192" s="5"/>
      <c r="H192" s="8"/>
      <c r="I192" s="8"/>
      <c r="J192" s="8"/>
      <c r="K192" s="8"/>
      <c r="L192" s="8"/>
      <c r="M192" s="8"/>
      <c r="N192" s="8"/>
      <c r="O192" s="12"/>
      <c r="P192" s="8"/>
    </row>
    <row r="193" spans="1:16" ht="12.75">
      <c r="A193" s="5"/>
      <c r="B193" s="9"/>
      <c r="C193" s="5"/>
      <c r="D193" s="5"/>
      <c r="E193" s="5"/>
      <c r="F193" s="5"/>
      <c r="G193" s="5"/>
      <c r="H193" s="8"/>
      <c r="I193" s="8"/>
      <c r="J193" s="8"/>
      <c r="K193" s="8"/>
      <c r="L193" s="8"/>
      <c r="M193" s="8"/>
      <c r="N193" s="8"/>
      <c r="O193" s="12"/>
      <c r="P193" s="8"/>
    </row>
    <row r="194" spans="1:16" ht="12.75">
      <c r="A194" s="5"/>
      <c r="B194" s="9"/>
      <c r="C194" s="5"/>
      <c r="D194" s="5"/>
      <c r="E194" s="5"/>
      <c r="F194" s="5"/>
      <c r="G194" s="5"/>
      <c r="H194" s="8"/>
      <c r="I194" s="8"/>
      <c r="J194" s="8"/>
      <c r="K194" s="8"/>
      <c r="L194" s="8"/>
      <c r="M194" s="8"/>
      <c r="N194" s="8"/>
      <c r="O194" s="12"/>
      <c r="P194" s="8"/>
    </row>
    <row r="195" spans="1:16" ht="12.75">
      <c r="A195" s="5"/>
      <c r="B195" s="9"/>
      <c r="C195" s="5"/>
      <c r="D195" s="5"/>
      <c r="E195" s="5"/>
      <c r="F195" s="5"/>
      <c r="G195" s="5"/>
      <c r="H195" s="8"/>
      <c r="I195" s="8"/>
      <c r="J195" s="8"/>
      <c r="K195" s="8"/>
      <c r="L195" s="8"/>
      <c r="M195" s="8"/>
      <c r="N195" s="8"/>
      <c r="O195" s="12"/>
      <c r="P195" s="8"/>
    </row>
    <row r="196" spans="1:16" ht="12.75">
      <c r="A196" s="5"/>
      <c r="B196" s="9"/>
      <c r="C196" s="5"/>
      <c r="D196" s="5"/>
      <c r="E196" s="5"/>
      <c r="F196" s="5"/>
      <c r="G196" s="5"/>
      <c r="H196" s="8"/>
      <c r="I196" s="8"/>
      <c r="J196" s="8"/>
      <c r="K196" s="8"/>
      <c r="L196" s="8"/>
      <c r="M196" s="8"/>
      <c r="N196" s="8"/>
      <c r="O196" s="12"/>
      <c r="P196" s="8"/>
    </row>
    <row r="197" spans="1:16" ht="12.75">
      <c r="A197" s="5"/>
      <c r="B197" s="9"/>
      <c r="C197" s="5"/>
      <c r="D197" s="5"/>
      <c r="E197" s="5"/>
      <c r="F197" s="5"/>
      <c r="G197" s="5"/>
      <c r="H197" s="8"/>
      <c r="I197" s="8"/>
      <c r="J197" s="8"/>
      <c r="K197" s="8"/>
      <c r="L197" s="8"/>
      <c r="M197" s="8"/>
      <c r="N197" s="8"/>
      <c r="O197" s="12"/>
      <c r="P197" s="8"/>
    </row>
    <row r="198" spans="1:16" ht="12.75">
      <c r="A198" s="5"/>
      <c r="B198" s="9"/>
      <c r="C198" s="5"/>
      <c r="D198" s="5"/>
      <c r="E198" s="5"/>
      <c r="F198" s="5"/>
      <c r="G198" s="5"/>
      <c r="H198" s="8"/>
      <c r="I198" s="8"/>
      <c r="J198" s="8"/>
      <c r="K198" s="8"/>
      <c r="L198" s="8"/>
      <c r="M198" s="8"/>
      <c r="N198" s="8"/>
      <c r="O198" s="12"/>
      <c r="P198" s="8"/>
    </row>
    <row r="199" spans="1:16" ht="12.75">
      <c r="A199" s="5"/>
      <c r="B199" s="9"/>
      <c r="C199" s="5"/>
      <c r="D199" s="5"/>
      <c r="E199" s="5"/>
      <c r="F199" s="5"/>
      <c r="G199" s="5"/>
      <c r="H199" s="8"/>
      <c r="I199" s="8"/>
      <c r="J199" s="8"/>
      <c r="K199" s="8"/>
      <c r="L199" s="8"/>
      <c r="M199" s="8"/>
      <c r="N199" s="8"/>
      <c r="O199" s="12"/>
      <c r="P199" s="8"/>
    </row>
    <row r="200" spans="1:16" ht="12.75">
      <c r="A200" s="5"/>
      <c r="B200" s="9"/>
      <c r="C200" s="5"/>
      <c r="D200" s="5"/>
      <c r="E200" s="5"/>
      <c r="F200" s="5"/>
      <c r="G200" s="5"/>
      <c r="H200" s="8"/>
      <c r="I200" s="8"/>
      <c r="J200" s="8"/>
      <c r="K200" s="8"/>
      <c r="L200" s="8"/>
      <c r="M200" s="8"/>
      <c r="N200" s="8"/>
      <c r="O200" s="12"/>
      <c r="P200" s="8"/>
    </row>
    <row r="201" spans="1:16" ht="12.75">
      <c r="A201" s="5"/>
      <c r="B201" s="9"/>
      <c r="C201" s="5"/>
      <c r="D201" s="5"/>
      <c r="E201" s="5"/>
      <c r="F201" s="5"/>
      <c r="G201" s="5"/>
      <c r="H201" s="8"/>
      <c r="I201" s="8"/>
      <c r="J201" s="8"/>
      <c r="K201" s="8"/>
      <c r="L201" s="8"/>
      <c r="M201" s="8"/>
      <c r="N201" s="8"/>
      <c r="O201" s="12"/>
      <c r="P201" s="8"/>
    </row>
    <row r="202" spans="1:16" ht="12.75">
      <c r="A202" s="5"/>
      <c r="B202" s="9"/>
      <c r="C202" s="5"/>
      <c r="D202" s="5"/>
      <c r="E202" s="5"/>
      <c r="F202" s="5"/>
      <c r="G202" s="5"/>
      <c r="H202" s="8"/>
      <c r="I202" s="8"/>
      <c r="J202" s="8"/>
      <c r="K202" s="8"/>
      <c r="L202" s="8"/>
      <c r="M202" s="8"/>
      <c r="N202" s="8"/>
      <c r="O202" s="12"/>
      <c r="P202" s="8"/>
    </row>
    <row r="203" spans="1:16" ht="12.75">
      <c r="A203" s="5"/>
      <c r="B203" s="9"/>
      <c r="C203" s="5"/>
      <c r="D203" s="5"/>
      <c r="E203" s="5"/>
      <c r="F203" s="5"/>
      <c r="G203" s="5"/>
      <c r="H203" s="8"/>
      <c r="I203" s="8"/>
      <c r="J203" s="8"/>
      <c r="K203" s="8"/>
      <c r="L203" s="8"/>
      <c r="M203" s="8"/>
      <c r="N203" s="8"/>
      <c r="O203" s="12"/>
      <c r="P203" s="8"/>
    </row>
    <row r="204" spans="1:16" ht="12.75">
      <c r="A204" s="5"/>
      <c r="B204" s="9"/>
      <c r="C204" s="5"/>
      <c r="D204" s="5"/>
      <c r="E204" s="5"/>
      <c r="F204" s="5"/>
      <c r="G204" s="5"/>
      <c r="H204" s="8"/>
      <c r="I204" s="8"/>
      <c r="J204" s="8"/>
      <c r="K204" s="8"/>
      <c r="L204" s="8"/>
      <c r="M204" s="8"/>
      <c r="N204" s="8"/>
      <c r="O204" s="12"/>
      <c r="P204" s="8"/>
    </row>
    <row r="205" spans="1:16" ht="12.75">
      <c r="A205" s="5"/>
      <c r="B205" s="9"/>
      <c r="C205" s="5"/>
      <c r="D205" s="5"/>
      <c r="E205" s="5"/>
      <c r="F205" s="5"/>
      <c r="G205" s="5"/>
      <c r="H205" s="8"/>
      <c r="I205" s="8"/>
      <c r="J205" s="8"/>
      <c r="K205" s="8"/>
      <c r="L205" s="8"/>
      <c r="M205" s="8"/>
      <c r="N205" s="8"/>
      <c r="O205" s="12"/>
      <c r="P205" s="8"/>
    </row>
    <row r="206" spans="1:16" ht="12.75">
      <c r="A206" s="5"/>
      <c r="B206" s="9"/>
      <c r="C206" s="5"/>
      <c r="D206" s="5"/>
      <c r="E206" s="5"/>
      <c r="F206" s="5"/>
      <c r="G206" s="5"/>
      <c r="H206" s="8"/>
      <c r="I206" s="8"/>
      <c r="J206" s="8"/>
      <c r="K206" s="8"/>
      <c r="L206" s="8"/>
      <c r="M206" s="8"/>
      <c r="N206" s="8"/>
      <c r="O206" s="12"/>
      <c r="P206" s="8"/>
    </row>
    <row r="207" spans="1:16" ht="12.75">
      <c r="A207" s="5"/>
      <c r="B207" s="9"/>
      <c r="C207" s="5"/>
      <c r="D207" s="5"/>
      <c r="E207" s="5"/>
      <c r="F207" s="5"/>
      <c r="G207" s="5"/>
      <c r="H207" s="8"/>
      <c r="I207" s="8"/>
      <c r="J207" s="8"/>
      <c r="K207" s="8"/>
      <c r="L207" s="8"/>
      <c r="M207" s="8"/>
      <c r="N207" s="8"/>
      <c r="O207" s="12"/>
      <c r="P207" s="8"/>
    </row>
    <row r="208" spans="1:16" ht="12.75">
      <c r="A208" s="5"/>
      <c r="B208" s="9"/>
      <c r="C208" s="5"/>
      <c r="D208" s="5"/>
      <c r="E208" s="5"/>
      <c r="F208" s="5"/>
      <c r="G208" s="5"/>
      <c r="H208" s="8"/>
      <c r="I208" s="8"/>
      <c r="J208" s="8"/>
      <c r="K208" s="8"/>
      <c r="L208" s="8"/>
      <c r="M208" s="8"/>
      <c r="N208" s="8"/>
      <c r="O208" s="12"/>
      <c r="P208" s="8"/>
    </row>
    <row r="209" spans="1:16" ht="12.75">
      <c r="A209" s="5"/>
      <c r="B209" s="9"/>
      <c r="C209" s="5"/>
      <c r="D209" s="5"/>
      <c r="E209" s="5"/>
      <c r="F209" s="5"/>
      <c r="G209" s="5"/>
      <c r="H209" s="8"/>
      <c r="I209" s="8"/>
      <c r="J209" s="8"/>
      <c r="K209" s="8"/>
      <c r="L209" s="8"/>
      <c r="M209" s="8"/>
      <c r="N209" s="8"/>
      <c r="O209" s="12"/>
      <c r="P209" s="8"/>
    </row>
    <row r="210" spans="1:16" ht="12.75">
      <c r="A210" s="5"/>
      <c r="B210" s="9"/>
      <c r="C210" s="5"/>
      <c r="D210" s="5"/>
      <c r="E210" s="5"/>
      <c r="F210" s="5"/>
      <c r="G210" s="5"/>
      <c r="H210" s="8"/>
      <c r="I210" s="8"/>
      <c r="J210" s="8"/>
      <c r="K210" s="8"/>
      <c r="L210" s="8"/>
      <c r="M210" s="8"/>
      <c r="N210" s="8"/>
      <c r="O210" s="12"/>
      <c r="P210" s="8"/>
    </row>
    <row r="211" spans="1:16" ht="12.75">
      <c r="A211" s="5"/>
      <c r="B211" s="9"/>
      <c r="C211" s="5"/>
      <c r="D211" s="5"/>
      <c r="E211" s="5"/>
      <c r="F211" s="5"/>
      <c r="G211" s="5"/>
      <c r="H211" s="8"/>
      <c r="I211" s="8"/>
      <c r="J211" s="8"/>
      <c r="K211" s="8"/>
      <c r="L211" s="8"/>
      <c r="M211" s="8"/>
      <c r="N211" s="8"/>
      <c r="O211" s="12"/>
      <c r="P211" s="8"/>
    </row>
    <row r="212" spans="1:16" ht="12.75">
      <c r="A212" s="5"/>
      <c r="B212" s="9"/>
      <c r="C212" s="5"/>
      <c r="D212" s="5"/>
      <c r="E212" s="5"/>
      <c r="F212" s="5"/>
      <c r="G212" s="5"/>
      <c r="H212" s="8"/>
      <c r="I212" s="8"/>
      <c r="J212" s="8"/>
      <c r="K212" s="8"/>
      <c r="L212" s="8"/>
      <c r="M212" s="8"/>
      <c r="N212" s="8"/>
      <c r="O212" s="12"/>
      <c r="P212" s="8"/>
    </row>
    <row r="213" spans="1:16" ht="12.75">
      <c r="A213" s="5"/>
      <c r="B213" s="9"/>
      <c r="C213" s="5"/>
      <c r="D213" s="5"/>
      <c r="E213" s="5"/>
      <c r="F213" s="5"/>
      <c r="G213" s="5"/>
      <c r="H213" s="8"/>
      <c r="I213" s="8"/>
      <c r="J213" s="8"/>
      <c r="K213" s="8"/>
      <c r="L213" s="8"/>
      <c r="M213" s="8"/>
      <c r="N213" s="8"/>
      <c r="O213" s="12"/>
      <c r="P213" s="8"/>
    </row>
    <row r="214" spans="1:16" ht="12.75">
      <c r="A214" s="5"/>
      <c r="B214" s="9"/>
      <c r="C214" s="5"/>
      <c r="D214" s="5"/>
      <c r="E214" s="5"/>
      <c r="F214" s="5"/>
      <c r="G214" s="5"/>
      <c r="H214" s="8"/>
      <c r="I214" s="8"/>
      <c r="J214" s="8"/>
      <c r="K214" s="8"/>
      <c r="L214" s="8"/>
      <c r="M214" s="8"/>
      <c r="N214" s="8"/>
      <c r="O214" s="12"/>
      <c r="P214" s="8"/>
    </row>
    <row r="215" spans="1:16" ht="12.75">
      <c r="A215" s="5"/>
      <c r="B215" s="9"/>
      <c r="C215" s="5"/>
      <c r="D215" s="5"/>
      <c r="E215" s="5"/>
      <c r="F215" s="5"/>
      <c r="G215" s="5"/>
      <c r="H215" s="8"/>
      <c r="I215" s="8"/>
      <c r="J215" s="8"/>
      <c r="K215" s="8"/>
      <c r="L215" s="8"/>
      <c r="M215" s="8"/>
      <c r="N215" s="8"/>
      <c r="O215" s="12"/>
      <c r="P215" s="8"/>
    </row>
    <row r="216" spans="1:16" ht="12.75">
      <c r="A216" s="5"/>
      <c r="B216" s="9"/>
      <c r="C216" s="5"/>
      <c r="D216" s="5"/>
      <c r="E216" s="5"/>
      <c r="F216" s="5"/>
      <c r="G216" s="5"/>
      <c r="H216" s="8"/>
      <c r="I216" s="8"/>
      <c r="J216" s="8"/>
      <c r="K216" s="8"/>
      <c r="L216" s="8"/>
      <c r="M216" s="8"/>
      <c r="N216" s="8"/>
      <c r="O216" s="12"/>
      <c r="P216" s="8"/>
    </row>
    <row r="217" spans="1:16" ht="12.75">
      <c r="A217" s="5"/>
      <c r="B217" s="9"/>
      <c r="C217" s="5"/>
      <c r="D217" s="5"/>
      <c r="E217" s="5"/>
      <c r="F217" s="5"/>
      <c r="G217" s="5"/>
      <c r="H217" s="8"/>
      <c r="I217" s="8"/>
      <c r="J217" s="8"/>
      <c r="K217" s="8"/>
      <c r="L217" s="8"/>
      <c r="M217" s="8"/>
      <c r="N217" s="8"/>
      <c r="O217" s="12"/>
      <c r="P217" s="8"/>
    </row>
    <row r="218" spans="1:16" ht="12.75">
      <c r="A218" s="5"/>
      <c r="B218" s="9"/>
      <c r="C218" s="5"/>
      <c r="D218" s="5"/>
      <c r="E218" s="5"/>
      <c r="F218" s="5"/>
      <c r="G218" s="5"/>
      <c r="H218" s="8"/>
      <c r="I218" s="8"/>
      <c r="J218" s="8"/>
      <c r="K218" s="8"/>
      <c r="L218" s="8"/>
      <c r="M218" s="8"/>
      <c r="N218" s="8"/>
      <c r="O218" s="12"/>
      <c r="P218" s="8"/>
    </row>
    <row r="219" spans="1:16" ht="12.75">
      <c r="A219" s="1"/>
      <c r="B219" s="4"/>
      <c r="C219" s="1"/>
      <c r="D219" s="1"/>
      <c r="E219" s="1"/>
      <c r="F219" s="1"/>
      <c r="G219" s="1"/>
      <c r="H219" s="8"/>
      <c r="I219" s="8"/>
      <c r="J219" s="8"/>
      <c r="K219" s="8"/>
      <c r="L219" s="8"/>
      <c r="M219" s="8"/>
      <c r="N219" s="8"/>
      <c r="O219" s="12"/>
      <c r="P219" s="8"/>
    </row>
    <row r="220" spans="1:16" ht="12.75">
      <c r="A220" s="1"/>
      <c r="B220" s="4"/>
      <c r="C220" s="1"/>
      <c r="D220" s="1"/>
      <c r="E220" s="1"/>
      <c r="F220" s="1"/>
      <c r="G220" s="1"/>
      <c r="H220" s="8"/>
      <c r="I220" s="8"/>
      <c r="J220" s="8"/>
      <c r="K220" s="8"/>
      <c r="L220" s="8"/>
      <c r="M220" s="8"/>
      <c r="N220" s="8"/>
      <c r="O220" s="12"/>
      <c r="P220" s="8"/>
    </row>
    <row r="221" spans="1:16" ht="12.75">
      <c r="A221" s="1"/>
      <c r="B221" s="4"/>
      <c r="C221" s="1"/>
      <c r="D221" s="1"/>
      <c r="E221" s="1"/>
      <c r="F221" s="1"/>
      <c r="G221" s="1"/>
      <c r="H221" s="8"/>
      <c r="I221" s="8"/>
      <c r="J221" s="8"/>
      <c r="K221" s="8"/>
      <c r="L221" s="8"/>
      <c r="M221" s="8"/>
      <c r="N221" s="8"/>
      <c r="O221" s="12"/>
      <c r="P221" s="8"/>
    </row>
    <row r="222" spans="1:16" ht="12.75">
      <c r="A222" s="1"/>
      <c r="B222" s="4"/>
      <c r="C222" s="1"/>
      <c r="D222" s="1"/>
      <c r="E222" s="1"/>
      <c r="F222" s="1"/>
      <c r="G222" s="1"/>
      <c r="H222" s="8"/>
      <c r="I222" s="8"/>
      <c r="J222" s="8"/>
      <c r="K222" s="8"/>
      <c r="L222" s="8"/>
      <c r="M222" s="8"/>
      <c r="N222" s="8"/>
      <c r="O222" s="12"/>
      <c r="P222" s="8"/>
    </row>
    <row r="223" spans="1:16" ht="12.75">
      <c r="A223" s="1"/>
      <c r="B223" s="4"/>
      <c r="C223" s="1"/>
      <c r="D223" s="1"/>
      <c r="E223" s="1"/>
      <c r="F223" s="1"/>
      <c r="G223" s="1"/>
      <c r="H223" s="8"/>
      <c r="I223" s="8"/>
      <c r="J223" s="8"/>
      <c r="K223" s="8"/>
      <c r="L223" s="8"/>
      <c r="M223" s="8"/>
      <c r="N223" s="8"/>
      <c r="O223" s="12"/>
      <c r="P223" s="8"/>
    </row>
    <row r="224" spans="1:16" ht="12.75">
      <c r="A224" s="1"/>
      <c r="B224" s="4"/>
      <c r="C224" s="1"/>
      <c r="D224" s="1"/>
      <c r="E224" s="1"/>
      <c r="F224" s="1"/>
      <c r="G224" s="1"/>
      <c r="H224" s="8"/>
      <c r="I224" s="8"/>
      <c r="J224" s="8"/>
      <c r="K224" s="8"/>
      <c r="L224" s="8"/>
      <c r="M224" s="8"/>
      <c r="N224" s="8"/>
      <c r="O224" s="12"/>
      <c r="P224" s="8"/>
    </row>
    <row r="225" spans="1:16" ht="12.75">
      <c r="A225" s="1"/>
      <c r="B225" s="4"/>
      <c r="C225" s="1"/>
      <c r="D225" s="1"/>
      <c r="E225" s="1"/>
      <c r="F225" s="1"/>
      <c r="G225" s="1"/>
      <c r="H225" s="8"/>
      <c r="I225" s="8"/>
      <c r="J225" s="8"/>
      <c r="K225" s="8"/>
      <c r="L225" s="8"/>
      <c r="M225" s="8"/>
      <c r="N225" s="8"/>
      <c r="O225" s="12"/>
      <c r="P225" s="8"/>
    </row>
    <row r="226" spans="1:16" ht="12.75">
      <c r="A226" s="1"/>
      <c r="B226" s="4"/>
      <c r="C226" s="1"/>
      <c r="D226" s="1"/>
      <c r="E226" s="1"/>
      <c r="F226" s="1"/>
      <c r="G226" s="1"/>
      <c r="H226" s="8"/>
      <c r="I226" s="8"/>
      <c r="J226" s="8"/>
      <c r="K226" s="8"/>
      <c r="L226" s="8"/>
      <c r="M226" s="8"/>
      <c r="N226" s="8"/>
      <c r="O226" s="12"/>
      <c r="P226" s="8"/>
    </row>
    <row r="227" spans="1:16" ht="12.75">
      <c r="A227" s="1"/>
      <c r="B227" s="4"/>
      <c r="C227" s="1"/>
      <c r="D227" s="1"/>
      <c r="E227" s="1"/>
      <c r="F227" s="1"/>
      <c r="G227" s="1"/>
      <c r="H227" s="8"/>
      <c r="I227" s="8"/>
      <c r="J227" s="8"/>
      <c r="K227" s="8"/>
      <c r="L227" s="8"/>
      <c r="M227" s="8"/>
      <c r="N227" s="8"/>
      <c r="O227" s="12"/>
      <c r="P227" s="8"/>
    </row>
    <row r="228" spans="1:16" ht="12.75">
      <c r="A228" s="1"/>
      <c r="B228" s="4"/>
      <c r="C228" s="1"/>
      <c r="D228" s="1"/>
      <c r="E228" s="1"/>
      <c r="F228" s="1"/>
      <c r="G228" s="1"/>
      <c r="H228" s="8"/>
      <c r="I228" s="8"/>
      <c r="J228" s="8"/>
      <c r="K228" s="8"/>
      <c r="L228" s="8"/>
      <c r="M228" s="8"/>
      <c r="N228" s="8"/>
      <c r="O228" s="12"/>
      <c r="P228" s="8"/>
    </row>
    <row r="229" spans="1:16" ht="12.75">
      <c r="A229" s="1"/>
      <c r="B229" s="4"/>
      <c r="C229" s="1"/>
      <c r="D229" s="1"/>
      <c r="E229" s="1"/>
      <c r="F229" s="1"/>
      <c r="G229" s="1"/>
      <c r="H229" s="8"/>
      <c r="I229" s="8"/>
      <c r="J229" s="8"/>
      <c r="K229" s="8"/>
      <c r="L229" s="8"/>
      <c r="M229" s="8"/>
      <c r="N229" s="8"/>
      <c r="O229" s="12"/>
      <c r="P229" s="8"/>
    </row>
    <row r="230" spans="1:16" ht="12.75">
      <c r="A230" s="1"/>
      <c r="B230" s="4"/>
      <c r="C230" s="1"/>
      <c r="D230" s="1"/>
      <c r="E230" s="1"/>
      <c r="F230" s="1"/>
      <c r="G230" s="1"/>
      <c r="H230" s="8"/>
      <c r="I230" s="8"/>
      <c r="J230" s="8"/>
      <c r="K230" s="8"/>
      <c r="L230" s="8"/>
      <c r="M230" s="8"/>
      <c r="N230" s="8"/>
      <c r="O230" s="12"/>
      <c r="P230" s="8"/>
    </row>
    <row r="231" spans="1:16" ht="12.75">
      <c r="A231" s="1"/>
      <c r="B231" s="4"/>
      <c r="C231" s="1"/>
      <c r="D231" s="1"/>
      <c r="E231" s="1"/>
      <c r="F231" s="1"/>
      <c r="G231" s="1"/>
      <c r="H231" s="8"/>
      <c r="I231" s="8"/>
      <c r="J231" s="8"/>
      <c r="K231" s="8"/>
      <c r="L231" s="8"/>
      <c r="M231" s="8"/>
      <c r="N231" s="8"/>
      <c r="O231" s="12"/>
      <c r="P231" s="8"/>
    </row>
    <row r="232" spans="1:16" ht="12.75">
      <c r="A232" s="1"/>
      <c r="B232" s="4"/>
      <c r="C232" s="1"/>
      <c r="D232" s="1"/>
      <c r="E232" s="1"/>
      <c r="F232" s="1"/>
      <c r="G232" s="1"/>
      <c r="H232" s="8"/>
      <c r="I232" s="8"/>
      <c r="J232" s="8"/>
      <c r="K232" s="8"/>
      <c r="L232" s="8"/>
      <c r="M232" s="8"/>
      <c r="N232" s="8"/>
      <c r="O232" s="12"/>
      <c r="P232" s="8"/>
    </row>
    <row r="233" spans="1:16" ht="12.75">
      <c r="A233" s="1"/>
      <c r="B233" s="4"/>
      <c r="C233" s="1"/>
      <c r="D233" s="1"/>
      <c r="E233" s="1"/>
      <c r="F233" s="1"/>
      <c r="G233" s="1"/>
      <c r="H233" s="8"/>
      <c r="I233" s="8"/>
      <c r="J233" s="8"/>
      <c r="K233" s="8"/>
      <c r="L233" s="8"/>
      <c r="M233" s="8"/>
      <c r="N233" s="8"/>
      <c r="O233" s="12"/>
      <c r="P233" s="8"/>
    </row>
    <row r="234" spans="1:16" ht="12.75">
      <c r="A234" s="1"/>
      <c r="B234" s="4"/>
      <c r="C234" s="1"/>
      <c r="D234" s="1"/>
      <c r="E234" s="1"/>
      <c r="F234" s="1"/>
      <c r="G234" s="1"/>
      <c r="H234" s="8"/>
      <c r="I234" s="8"/>
      <c r="J234" s="8"/>
      <c r="K234" s="8"/>
      <c r="L234" s="8"/>
      <c r="M234" s="8"/>
      <c r="N234" s="8"/>
      <c r="O234" s="12"/>
      <c r="P234" s="8"/>
    </row>
    <row r="235" spans="1:16" ht="12.75">
      <c r="A235" s="1"/>
      <c r="B235" s="4"/>
      <c r="C235" s="1"/>
      <c r="D235" s="1"/>
      <c r="E235" s="1"/>
      <c r="F235" s="1"/>
      <c r="G235" s="1"/>
      <c r="H235" s="8"/>
      <c r="I235" s="8"/>
      <c r="J235" s="8"/>
      <c r="K235" s="8"/>
      <c r="L235" s="8"/>
      <c r="M235" s="8"/>
      <c r="N235" s="8"/>
      <c r="O235" s="12"/>
      <c r="P235" s="8"/>
    </row>
    <row r="236" spans="1:16" ht="12.75">
      <c r="A236" s="1"/>
      <c r="B236" s="4"/>
      <c r="C236" s="1"/>
      <c r="D236" s="1"/>
      <c r="E236" s="1"/>
      <c r="F236" s="1"/>
      <c r="G236" s="1"/>
      <c r="H236" s="8"/>
      <c r="I236" s="8"/>
      <c r="J236" s="8"/>
      <c r="K236" s="8"/>
      <c r="L236" s="8"/>
      <c r="M236" s="8"/>
      <c r="N236" s="8"/>
      <c r="O236" s="12"/>
      <c r="P236" s="8"/>
    </row>
    <row r="237" spans="1:16" ht="12.75">
      <c r="A237" s="1"/>
      <c r="B237" s="4"/>
      <c r="C237" s="1"/>
      <c r="D237" s="1"/>
      <c r="E237" s="1"/>
      <c r="F237" s="1"/>
      <c r="G237" s="1"/>
      <c r="H237" s="8"/>
      <c r="I237" s="8"/>
      <c r="J237" s="8"/>
      <c r="K237" s="8"/>
      <c r="L237" s="8"/>
      <c r="M237" s="8"/>
      <c r="N237" s="8"/>
      <c r="O237" s="12"/>
      <c r="P237" s="8"/>
    </row>
    <row r="238" spans="1:16" ht="12.75">
      <c r="A238" s="1"/>
      <c r="B238" s="4"/>
      <c r="C238" s="1"/>
      <c r="D238" s="1"/>
      <c r="E238" s="1"/>
      <c r="F238" s="1"/>
      <c r="G238" s="1"/>
      <c r="H238" s="8"/>
      <c r="I238" s="8"/>
      <c r="J238" s="8"/>
      <c r="K238" s="8"/>
      <c r="L238" s="8"/>
      <c r="M238" s="8"/>
      <c r="N238" s="8"/>
      <c r="O238" s="12"/>
      <c r="P238" s="8"/>
    </row>
    <row r="239" spans="1:16" ht="12.75">
      <c r="A239" s="1"/>
      <c r="B239" s="4"/>
      <c r="C239" s="1"/>
      <c r="D239" s="1"/>
      <c r="E239" s="1"/>
      <c r="F239" s="1"/>
      <c r="G239" s="1"/>
      <c r="H239" s="8"/>
      <c r="I239" s="8"/>
      <c r="J239" s="8"/>
      <c r="K239" s="8"/>
      <c r="L239" s="8"/>
      <c r="M239" s="8"/>
      <c r="N239" s="8"/>
      <c r="O239" s="12"/>
      <c r="P239" s="8"/>
    </row>
    <row r="240" spans="1:16" ht="12.75">
      <c r="A240" s="1"/>
      <c r="B240" s="4"/>
      <c r="C240" s="1"/>
      <c r="D240" s="1"/>
      <c r="E240" s="1"/>
      <c r="F240" s="1"/>
      <c r="G240" s="1"/>
      <c r="H240" s="8"/>
      <c r="I240" s="8"/>
      <c r="J240" s="8"/>
      <c r="K240" s="8"/>
      <c r="L240" s="8"/>
      <c r="M240" s="8"/>
      <c r="N240" s="8"/>
      <c r="O240" s="12"/>
      <c r="P240" s="8"/>
    </row>
    <row r="241" spans="1:16" ht="12.75">
      <c r="A241" s="1"/>
      <c r="B241" s="4"/>
      <c r="C241" s="1"/>
      <c r="D241" s="1"/>
      <c r="E241" s="1"/>
      <c r="F241" s="1"/>
      <c r="G241" s="1"/>
      <c r="H241" s="8"/>
      <c r="I241" s="8"/>
      <c r="J241" s="8"/>
      <c r="K241" s="8"/>
      <c r="L241" s="8"/>
      <c r="M241" s="8"/>
      <c r="N241" s="8"/>
      <c r="O241" s="12"/>
      <c r="P241" s="8"/>
    </row>
    <row r="242" spans="1:16" ht="12.75">
      <c r="A242" s="1"/>
      <c r="B242" s="4"/>
      <c r="C242" s="1"/>
      <c r="D242" s="1"/>
      <c r="E242" s="1"/>
      <c r="F242" s="1"/>
      <c r="G242" s="1"/>
      <c r="H242" s="8"/>
      <c r="I242" s="8"/>
      <c r="J242" s="8"/>
      <c r="K242" s="8"/>
      <c r="L242" s="8"/>
      <c r="M242" s="8"/>
      <c r="N242" s="8"/>
      <c r="O242" s="12"/>
      <c r="P242" s="8"/>
    </row>
    <row r="243" spans="1:16" ht="12.75">
      <c r="A243" s="1"/>
      <c r="B243" s="4"/>
      <c r="C243" s="1"/>
      <c r="D243" s="1"/>
      <c r="E243" s="1"/>
      <c r="F243" s="1"/>
      <c r="G243" s="1"/>
      <c r="H243" s="8"/>
      <c r="I243" s="8"/>
      <c r="J243" s="8"/>
      <c r="K243" s="8"/>
      <c r="L243" s="8"/>
      <c r="M243" s="8"/>
      <c r="N243" s="8"/>
      <c r="O243" s="12"/>
      <c r="P243" s="8"/>
    </row>
    <row r="244" spans="1:16" ht="12.75">
      <c r="A244" s="1"/>
      <c r="B244" s="4"/>
      <c r="C244" s="1"/>
      <c r="D244" s="1"/>
      <c r="E244" s="1"/>
      <c r="F244" s="1"/>
      <c r="G244" s="1"/>
      <c r="H244" s="8"/>
      <c r="I244" s="8"/>
      <c r="J244" s="8"/>
      <c r="K244" s="8"/>
      <c r="L244" s="8"/>
      <c r="M244" s="8"/>
      <c r="N244" s="8"/>
      <c r="O244" s="12"/>
      <c r="P244" s="8"/>
    </row>
    <row r="245" spans="1:16" ht="12.75">
      <c r="A245" s="1"/>
      <c r="B245" s="4"/>
      <c r="C245" s="1"/>
      <c r="D245" s="1"/>
      <c r="E245" s="1"/>
      <c r="F245" s="1"/>
      <c r="G245" s="1"/>
      <c r="H245" s="8"/>
      <c r="I245" s="8"/>
      <c r="J245" s="8"/>
      <c r="K245" s="8"/>
      <c r="L245" s="8"/>
      <c r="M245" s="8"/>
      <c r="N245" s="8"/>
      <c r="O245" s="12"/>
      <c r="P245" s="8"/>
    </row>
    <row r="246" spans="1:16" ht="12.75">
      <c r="A246" s="1"/>
      <c r="B246" s="4"/>
      <c r="C246" s="1"/>
      <c r="D246" s="1"/>
      <c r="E246" s="1"/>
      <c r="F246" s="1"/>
      <c r="G246" s="1"/>
      <c r="H246" s="8"/>
      <c r="I246" s="8"/>
      <c r="J246" s="8"/>
      <c r="K246" s="8"/>
      <c r="L246" s="8"/>
      <c r="M246" s="8"/>
      <c r="N246" s="8"/>
      <c r="O246" s="12"/>
      <c r="P246" s="8"/>
    </row>
    <row r="247" spans="1:16" ht="12.75">
      <c r="A247" s="1"/>
      <c r="B247" s="4"/>
      <c r="C247" s="1"/>
      <c r="D247" s="1"/>
      <c r="E247" s="1"/>
      <c r="F247" s="1"/>
      <c r="G247" s="1"/>
      <c r="H247" s="8"/>
      <c r="I247" s="8"/>
      <c r="J247" s="8"/>
      <c r="K247" s="8"/>
      <c r="L247" s="8"/>
      <c r="M247" s="8"/>
      <c r="N247" s="8"/>
      <c r="O247" s="12"/>
      <c r="P247" s="8"/>
    </row>
    <row r="248" spans="1:16" ht="12.75">
      <c r="A248" s="1"/>
      <c r="B248" s="4"/>
      <c r="C248" s="1"/>
      <c r="D248" s="1"/>
      <c r="E248" s="1"/>
      <c r="F248" s="1"/>
      <c r="G248" s="1"/>
      <c r="H248" s="8"/>
      <c r="I248" s="8"/>
      <c r="J248" s="8"/>
      <c r="K248" s="8"/>
      <c r="L248" s="8"/>
      <c r="M248" s="8"/>
      <c r="N248" s="8"/>
      <c r="O248" s="12"/>
      <c r="P248" s="8"/>
    </row>
    <row r="249" spans="1:16" ht="12.75">
      <c r="A249" s="1"/>
      <c r="B249" s="4"/>
      <c r="C249" s="1"/>
      <c r="D249" s="1"/>
      <c r="E249" s="1"/>
      <c r="F249" s="1"/>
      <c r="G249" s="1"/>
      <c r="H249" s="8"/>
      <c r="I249" s="8"/>
      <c r="J249" s="8"/>
      <c r="K249" s="8"/>
      <c r="L249" s="8"/>
      <c r="M249" s="8"/>
      <c r="N249" s="8"/>
      <c r="O249" s="12"/>
      <c r="P249" s="8"/>
    </row>
    <row r="250" spans="1:16" ht="12.75">
      <c r="A250" s="1"/>
      <c r="B250" s="4"/>
      <c r="C250" s="1"/>
      <c r="D250" s="1"/>
      <c r="E250" s="1"/>
      <c r="F250" s="1"/>
      <c r="G250" s="1"/>
      <c r="H250" s="8"/>
      <c r="I250" s="8"/>
      <c r="J250" s="8"/>
      <c r="K250" s="8"/>
      <c r="L250" s="8"/>
      <c r="M250" s="8"/>
      <c r="N250" s="8"/>
      <c r="O250" s="12"/>
      <c r="P250" s="8"/>
    </row>
    <row r="251" spans="1:16" ht="12.75">
      <c r="A251" s="1"/>
      <c r="B251" s="4"/>
      <c r="C251" s="1"/>
      <c r="D251" s="1"/>
      <c r="E251" s="1"/>
      <c r="F251" s="1"/>
      <c r="G251" s="1"/>
      <c r="H251" s="8"/>
      <c r="I251" s="8"/>
      <c r="J251" s="8"/>
      <c r="K251" s="8"/>
      <c r="L251" s="8"/>
      <c r="M251" s="8"/>
      <c r="N251" s="8"/>
      <c r="O251" s="12"/>
      <c r="P251" s="8"/>
    </row>
    <row r="252" spans="1:16" ht="12.75">
      <c r="A252" s="1"/>
      <c r="B252" s="4"/>
      <c r="C252" s="1"/>
      <c r="D252" s="1"/>
      <c r="E252" s="1"/>
      <c r="F252" s="1"/>
      <c r="G252" s="1"/>
      <c r="H252" s="8"/>
      <c r="I252" s="8"/>
      <c r="J252" s="8"/>
      <c r="K252" s="8"/>
      <c r="L252" s="8"/>
      <c r="M252" s="8"/>
      <c r="N252" s="8"/>
      <c r="O252" s="12"/>
      <c r="P252" s="8"/>
    </row>
    <row r="253" spans="1:16" ht="12.75">
      <c r="A253" s="1"/>
      <c r="B253" s="4"/>
      <c r="C253" s="1"/>
      <c r="D253" s="1"/>
      <c r="E253" s="1"/>
      <c r="F253" s="1"/>
      <c r="G253" s="1"/>
      <c r="H253" s="8"/>
      <c r="I253" s="8"/>
      <c r="J253" s="8"/>
      <c r="K253" s="8"/>
      <c r="L253" s="8"/>
      <c r="M253" s="8"/>
      <c r="N253" s="8"/>
      <c r="O253" s="12"/>
      <c r="P253" s="8"/>
    </row>
    <row r="254" spans="1:16" ht="12.75">
      <c r="A254" s="1"/>
      <c r="B254" s="4"/>
      <c r="C254" s="1"/>
      <c r="D254" s="1"/>
      <c r="E254" s="1"/>
      <c r="F254" s="1"/>
      <c r="G254" s="1"/>
      <c r="H254" s="8"/>
      <c r="I254" s="8"/>
      <c r="J254" s="8"/>
      <c r="K254" s="8"/>
      <c r="L254" s="8"/>
      <c r="M254" s="8"/>
      <c r="N254" s="8"/>
      <c r="O254" s="12"/>
      <c r="P254" s="8"/>
    </row>
    <row r="255" spans="1:16" ht="12.75">
      <c r="A255" s="1"/>
      <c r="B255" s="4"/>
      <c r="C255" s="1"/>
      <c r="D255" s="1"/>
      <c r="E255" s="1"/>
      <c r="F255" s="1"/>
      <c r="G255" s="1"/>
      <c r="H255" s="8"/>
      <c r="I255" s="8"/>
      <c r="J255" s="8"/>
      <c r="K255" s="8"/>
      <c r="L255" s="8"/>
      <c r="M255" s="8"/>
      <c r="N255" s="8"/>
      <c r="O255" s="12"/>
      <c r="P255" s="8"/>
    </row>
    <row r="256" spans="1:16" ht="12.75">
      <c r="A256" s="1"/>
      <c r="B256" s="4"/>
      <c r="C256" s="1"/>
      <c r="D256" s="1"/>
      <c r="E256" s="1"/>
      <c r="F256" s="1"/>
      <c r="G256" s="1"/>
      <c r="H256" s="8"/>
      <c r="I256" s="8"/>
      <c r="J256" s="8"/>
      <c r="K256" s="8"/>
      <c r="L256" s="8"/>
      <c r="M256" s="8"/>
      <c r="N256" s="8"/>
      <c r="O256" s="12"/>
      <c r="P256" s="8"/>
    </row>
    <row r="257" spans="1:16" ht="12.75">
      <c r="A257" s="1"/>
      <c r="B257" s="4"/>
      <c r="C257" s="1"/>
      <c r="D257" s="1"/>
      <c r="E257" s="1"/>
      <c r="F257" s="1"/>
      <c r="G257" s="1"/>
      <c r="H257" s="8"/>
      <c r="I257" s="8"/>
      <c r="J257" s="8"/>
      <c r="K257" s="8"/>
      <c r="L257" s="8"/>
      <c r="M257" s="8"/>
      <c r="N257" s="8"/>
      <c r="O257" s="12"/>
      <c r="P257" s="8"/>
    </row>
    <row r="258" spans="1:16" ht="12.75">
      <c r="A258" s="1"/>
      <c r="B258" s="4"/>
      <c r="C258" s="1"/>
      <c r="D258" s="1"/>
      <c r="E258" s="1"/>
      <c r="F258" s="1"/>
      <c r="G258" s="1"/>
      <c r="H258" s="8"/>
      <c r="I258" s="8"/>
      <c r="J258" s="8"/>
      <c r="K258" s="8"/>
      <c r="L258" s="8"/>
      <c r="M258" s="8"/>
      <c r="N258" s="8"/>
      <c r="O258" s="12"/>
      <c r="P258" s="8"/>
    </row>
    <row r="259" spans="1:16" ht="12.75">
      <c r="A259" s="1"/>
      <c r="B259" s="4"/>
      <c r="C259" s="1"/>
      <c r="D259" s="1"/>
      <c r="E259" s="1"/>
      <c r="F259" s="1"/>
      <c r="G259" s="1"/>
      <c r="H259" s="8"/>
      <c r="I259" s="8"/>
      <c r="J259" s="8"/>
      <c r="K259" s="8"/>
      <c r="L259" s="8"/>
      <c r="M259" s="8"/>
      <c r="N259" s="8"/>
      <c r="O259" s="12"/>
      <c r="P259" s="8"/>
    </row>
    <row r="260" spans="1:16" ht="12.75">
      <c r="A260" s="1"/>
      <c r="B260" s="4"/>
      <c r="C260" s="1"/>
      <c r="D260" s="1"/>
      <c r="E260" s="1"/>
      <c r="F260" s="1"/>
      <c r="G260" s="1"/>
      <c r="H260" s="8"/>
      <c r="I260" s="8"/>
      <c r="J260" s="8"/>
      <c r="K260" s="8"/>
      <c r="L260" s="8"/>
      <c r="M260" s="8"/>
      <c r="N260" s="8"/>
      <c r="O260" s="12"/>
      <c r="P260" s="8"/>
    </row>
    <row r="261" spans="1:16" ht="12.75">
      <c r="A261" s="1"/>
      <c r="B261" s="4"/>
      <c r="C261" s="1"/>
      <c r="D261" s="1"/>
      <c r="E261" s="1"/>
      <c r="F261" s="1"/>
      <c r="G261" s="1"/>
      <c r="H261" s="8"/>
      <c r="I261" s="8"/>
      <c r="J261" s="8"/>
      <c r="K261" s="8"/>
      <c r="L261" s="8"/>
      <c r="M261" s="8"/>
      <c r="N261" s="8"/>
      <c r="O261" s="12"/>
      <c r="P261" s="8"/>
    </row>
    <row r="262" spans="1:16" ht="12.75">
      <c r="A262" s="1"/>
      <c r="B262" s="4"/>
      <c r="C262" s="1"/>
      <c r="D262" s="1"/>
      <c r="E262" s="1"/>
      <c r="F262" s="1"/>
      <c r="G262" s="1"/>
      <c r="H262" s="8"/>
      <c r="I262" s="8"/>
      <c r="J262" s="8"/>
      <c r="K262" s="8"/>
      <c r="L262" s="8"/>
      <c r="M262" s="8"/>
      <c r="N262" s="8"/>
      <c r="O262" s="12"/>
      <c r="P262" s="8"/>
    </row>
    <row r="263" spans="1:16" ht="12.75">
      <c r="A263" s="1"/>
      <c r="B263" s="4"/>
      <c r="C263" s="1"/>
      <c r="D263" s="1"/>
      <c r="E263" s="1"/>
      <c r="F263" s="1"/>
      <c r="G263" s="1"/>
      <c r="H263" s="8"/>
      <c r="I263" s="8"/>
      <c r="J263" s="8"/>
      <c r="K263" s="8"/>
      <c r="L263" s="8"/>
      <c r="M263" s="8"/>
      <c r="N263" s="8"/>
      <c r="O263" s="12"/>
      <c r="P263" s="8"/>
    </row>
    <row r="264" spans="1:16" ht="12.75">
      <c r="A264" s="1"/>
      <c r="B264" s="4"/>
      <c r="C264" s="1"/>
      <c r="D264" s="1"/>
      <c r="E264" s="1"/>
      <c r="F264" s="1"/>
      <c r="G264" s="1"/>
      <c r="H264" s="8"/>
      <c r="I264" s="8"/>
      <c r="J264" s="8"/>
      <c r="K264" s="8"/>
      <c r="L264" s="8"/>
      <c r="M264" s="8"/>
      <c r="N264" s="8"/>
      <c r="O264" s="12"/>
      <c r="P264" s="8"/>
    </row>
    <row r="265" spans="1:16" ht="12.75">
      <c r="A265" s="1"/>
      <c r="B265" s="4"/>
      <c r="C265" s="1"/>
      <c r="D265" s="1"/>
      <c r="E265" s="1"/>
      <c r="F265" s="1"/>
      <c r="G265" s="1"/>
      <c r="H265" s="8"/>
      <c r="I265" s="8"/>
      <c r="J265" s="8"/>
      <c r="K265" s="8"/>
      <c r="L265" s="8"/>
      <c r="M265" s="8"/>
      <c r="N265" s="8"/>
      <c r="O265" s="12"/>
      <c r="P265" s="8"/>
    </row>
    <row r="266" spans="1:16" ht="12.75">
      <c r="A266" s="1"/>
      <c r="B266" s="4"/>
      <c r="C266" s="1"/>
      <c r="D266" s="1"/>
      <c r="E266" s="1"/>
      <c r="F266" s="1"/>
      <c r="G266" s="1"/>
      <c r="H266" s="8"/>
      <c r="I266" s="8"/>
      <c r="J266" s="8"/>
      <c r="K266" s="8"/>
      <c r="L266" s="8"/>
      <c r="M266" s="8"/>
      <c r="N266" s="8"/>
      <c r="O266" s="12"/>
      <c r="P266" s="8"/>
    </row>
    <row r="267" spans="1:16" ht="12.75">
      <c r="A267" s="1"/>
      <c r="B267" s="4"/>
      <c r="C267" s="1"/>
      <c r="D267" s="1"/>
      <c r="E267" s="1"/>
      <c r="F267" s="1"/>
      <c r="G267" s="1"/>
      <c r="H267" s="8"/>
      <c r="I267" s="8"/>
      <c r="J267" s="8"/>
      <c r="K267" s="8"/>
      <c r="L267" s="8"/>
      <c r="M267" s="8"/>
      <c r="N267" s="8"/>
      <c r="O267" s="12"/>
      <c r="P267" s="8"/>
    </row>
    <row r="268" spans="1:16" ht="12.75">
      <c r="A268" s="1"/>
      <c r="B268" s="4"/>
      <c r="C268" s="1"/>
      <c r="D268" s="1"/>
      <c r="E268" s="1"/>
      <c r="F268" s="1"/>
      <c r="G268" s="1"/>
      <c r="H268" s="8"/>
      <c r="I268" s="8"/>
      <c r="J268" s="8"/>
      <c r="K268" s="8"/>
      <c r="L268" s="8"/>
      <c r="M268" s="8"/>
      <c r="N268" s="8"/>
      <c r="O268" s="12"/>
      <c r="P268" s="8"/>
    </row>
    <row r="269" spans="1:16" ht="12.75">
      <c r="A269" s="1"/>
      <c r="B269" s="4"/>
      <c r="C269" s="1"/>
      <c r="D269" s="1"/>
      <c r="E269" s="1"/>
      <c r="F269" s="1"/>
      <c r="G269" s="1"/>
      <c r="H269" s="8"/>
      <c r="I269" s="8"/>
      <c r="J269" s="8"/>
      <c r="K269" s="8"/>
      <c r="L269" s="8"/>
      <c r="M269" s="8"/>
      <c r="N269" s="8"/>
      <c r="O269" s="12"/>
      <c r="P269" s="8"/>
    </row>
    <row r="270" spans="1:16" ht="12.75">
      <c r="A270" s="1"/>
      <c r="B270" s="4"/>
      <c r="C270" s="1"/>
      <c r="D270" s="1"/>
      <c r="E270" s="1"/>
      <c r="F270" s="1"/>
      <c r="G270" s="1"/>
      <c r="H270" s="8"/>
      <c r="I270" s="8"/>
      <c r="J270" s="8"/>
      <c r="K270" s="8"/>
      <c r="L270" s="8"/>
      <c r="M270" s="8"/>
      <c r="N270" s="8"/>
      <c r="O270" s="12"/>
      <c r="P270" s="8"/>
    </row>
    <row r="271" spans="1:16" ht="12.75">
      <c r="A271" s="1"/>
      <c r="B271" s="4"/>
      <c r="C271" s="1"/>
      <c r="D271" s="1"/>
      <c r="E271" s="1"/>
      <c r="F271" s="1"/>
      <c r="G271" s="1"/>
      <c r="H271" s="8"/>
      <c r="I271" s="8"/>
      <c r="J271" s="8"/>
      <c r="K271" s="8"/>
      <c r="L271" s="8"/>
      <c r="M271" s="8"/>
      <c r="N271" s="8"/>
      <c r="O271" s="12"/>
      <c r="P271" s="8"/>
    </row>
    <row r="272" spans="1:16" ht="12.75">
      <c r="A272" s="1"/>
      <c r="B272" s="4"/>
      <c r="C272" s="1"/>
      <c r="D272" s="1"/>
      <c r="E272" s="1"/>
      <c r="F272" s="1"/>
      <c r="G272" s="1"/>
      <c r="H272" s="8"/>
      <c r="I272" s="8"/>
      <c r="J272" s="8"/>
      <c r="K272" s="8"/>
      <c r="L272" s="8"/>
      <c r="M272" s="8"/>
      <c r="N272" s="8"/>
      <c r="O272" s="12"/>
      <c r="P272" s="8"/>
    </row>
    <row r="273" spans="1:7" ht="12">
      <c r="A273" s="1"/>
      <c r="B273" s="4"/>
      <c r="C273" s="1"/>
      <c r="D273" s="1"/>
      <c r="E273" s="1"/>
      <c r="F273" s="1"/>
      <c r="G273" s="1"/>
    </row>
    <row r="274" spans="1:7" ht="12">
      <c r="A274" s="1"/>
      <c r="B274" s="4"/>
      <c r="C274" s="1"/>
      <c r="D274" s="1"/>
      <c r="E274" s="1"/>
      <c r="F274" s="1"/>
      <c r="G274" s="1"/>
    </row>
    <row r="275" spans="1:7" ht="12">
      <c r="A275" s="1"/>
      <c r="B275" s="4"/>
      <c r="C275" s="1"/>
      <c r="D275" s="1"/>
      <c r="E275" s="1"/>
      <c r="F275" s="1"/>
      <c r="G275" s="1"/>
    </row>
    <row r="276" spans="1:7" ht="12">
      <c r="A276" s="1"/>
      <c r="B276" s="4"/>
      <c r="C276" s="1"/>
      <c r="D276" s="1"/>
      <c r="E276" s="1"/>
      <c r="F276" s="1"/>
      <c r="G276" s="1"/>
    </row>
    <row r="277" spans="1:7" ht="12">
      <c r="A277" s="1"/>
      <c r="B277" s="4"/>
      <c r="C277" s="1"/>
      <c r="D277" s="1"/>
      <c r="E277" s="1"/>
      <c r="F277" s="1"/>
      <c r="G277" s="1"/>
    </row>
    <row r="278" spans="1:7" ht="12">
      <c r="A278" s="1"/>
      <c r="B278" s="4"/>
      <c r="C278" s="1"/>
      <c r="D278" s="1"/>
      <c r="E278" s="1"/>
      <c r="F278" s="1"/>
      <c r="G278" s="1"/>
    </row>
    <row r="279" spans="1:7" ht="12">
      <c r="A279" s="1"/>
      <c r="B279" s="4"/>
      <c r="C279" s="1"/>
      <c r="D279" s="1"/>
      <c r="E279" s="1"/>
      <c r="F279" s="1"/>
      <c r="G279" s="1"/>
    </row>
    <row r="280" spans="1:7" ht="12">
      <c r="A280" s="1"/>
      <c r="B280" s="4"/>
      <c r="C280" s="1"/>
      <c r="D280" s="1"/>
      <c r="E280" s="1"/>
      <c r="F280" s="1"/>
      <c r="G280" s="1"/>
    </row>
    <row r="281" spans="1:7" ht="12">
      <c r="A281" s="1"/>
      <c r="B281" s="4"/>
      <c r="C281" s="1"/>
      <c r="D281" s="1"/>
      <c r="E281" s="1"/>
      <c r="F281" s="1"/>
      <c r="G281" s="1"/>
    </row>
    <row r="282" spans="1:7" ht="12">
      <c r="A282" s="1"/>
      <c r="B282" s="4"/>
      <c r="C282" s="1"/>
      <c r="D282" s="1"/>
      <c r="E282" s="1"/>
      <c r="F282" s="1"/>
      <c r="G282" s="1"/>
    </row>
    <row r="283" spans="1:7" ht="12">
      <c r="A283" s="1"/>
      <c r="B283" s="4"/>
      <c r="C283" s="1"/>
      <c r="D283" s="1"/>
      <c r="E283" s="1"/>
      <c r="F283" s="1"/>
      <c r="G283" s="1"/>
    </row>
    <row r="284" spans="1:7" ht="12">
      <c r="A284" s="1"/>
      <c r="B284" s="4"/>
      <c r="C284" s="1"/>
      <c r="D284" s="1"/>
      <c r="E284" s="1"/>
      <c r="F284" s="1"/>
      <c r="G284" s="1"/>
    </row>
    <row r="285" spans="1:7" ht="12">
      <c r="A285" s="1"/>
      <c r="B285" s="4"/>
      <c r="C285" s="1"/>
      <c r="D285" s="1"/>
      <c r="E285" s="1"/>
      <c r="F285" s="1"/>
      <c r="G285" s="1"/>
    </row>
    <row r="286" spans="1:7" ht="12">
      <c r="A286" s="1"/>
      <c r="B286" s="4"/>
      <c r="C286" s="1"/>
      <c r="D286" s="1"/>
      <c r="E286" s="1"/>
      <c r="F286" s="1"/>
      <c r="G286" s="1"/>
    </row>
    <row r="287" spans="1:7" ht="12">
      <c r="A287" s="1"/>
      <c r="B287" s="4"/>
      <c r="C287" s="1"/>
      <c r="D287" s="1"/>
      <c r="E287" s="1"/>
      <c r="F287" s="1"/>
      <c r="G287" s="1"/>
    </row>
    <row r="288" spans="1:7" ht="12">
      <c r="A288" s="1"/>
      <c r="B288" s="4"/>
      <c r="C288" s="1"/>
      <c r="D288" s="1"/>
      <c r="E288" s="1"/>
      <c r="F288" s="1"/>
      <c r="G288" s="1"/>
    </row>
    <row r="289" spans="1:7" ht="12">
      <c r="A289" s="1"/>
      <c r="B289" s="4"/>
      <c r="C289" s="1"/>
      <c r="D289" s="1"/>
      <c r="E289" s="1"/>
      <c r="F289" s="1"/>
      <c r="G289" s="1"/>
    </row>
    <row r="290" spans="1:7" ht="12">
      <c r="A290" s="1"/>
      <c r="B290" s="4"/>
      <c r="C290" s="1"/>
      <c r="D290" s="1"/>
      <c r="E290" s="1"/>
      <c r="F290" s="1"/>
      <c r="G290" s="1"/>
    </row>
    <row r="291" spans="1:7" ht="12">
      <c r="A291" s="1"/>
      <c r="B291" s="4"/>
      <c r="C291" s="1"/>
      <c r="D291" s="1"/>
      <c r="E291" s="1"/>
      <c r="F291" s="1"/>
      <c r="G291" s="1"/>
    </row>
    <row r="292" spans="1:7" ht="12">
      <c r="A292" s="1"/>
      <c r="B292" s="4"/>
      <c r="C292" s="1"/>
      <c r="D292" s="1"/>
      <c r="E292" s="1"/>
      <c r="F292" s="1"/>
      <c r="G292" s="1"/>
    </row>
    <row r="293" spans="1:7" ht="12">
      <c r="A293" s="1"/>
      <c r="B293" s="4"/>
      <c r="C293" s="1"/>
      <c r="D293" s="1"/>
      <c r="E293" s="1"/>
      <c r="F293" s="1"/>
      <c r="G293" s="1"/>
    </row>
    <row r="294" spans="1:7" ht="12">
      <c r="A294" s="1"/>
      <c r="B294" s="4"/>
      <c r="C294" s="1"/>
      <c r="D294" s="1"/>
      <c r="E294" s="1"/>
      <c r="F294" s="1"/>
      <c r="G294" s="1"/>
    </row>
    <row r="295" spans="1:7" ht="12">
      <c r="A295" s="1"/>
      <c r="B295" s="4"/>
      <c r="C295" s="1"/>
      <c r="D295" s="1"/>
      <c r="E295" s="1"/>
      <c r="F295" s="1"/>
      <c r="G295" s="1"/>
    </row>
    <row r="296" spans="1:7" ht="12">
      <c r="A296" s="1"/>
      <c r="B296" s="4"/>
      <c r="C296" s="1"/>
      <c r="D296" s="1"/>
      <c r="E296" s="1"/>
      <c r="F296" s="1"/>
      <c r="G296" s="1"/>
    </row>
    <row r="297" spans="1:7" ht="12">
      <c r="A297" s="1"/>
      <c r="B297" s="4"/>
      <c r="C297" s="1"/>
      <c r="D297" s="1"/>
      <c r="E297" s="1"/>
      <c r="F297" s="1"/>
      <c r="G297" s="1"/>
    </row>
    <row r="298" spans="1:7" ht="12">
      <c r="A298" s="1"/>
      <c r="B298" s="4"/>
      <c r="C298" s="1"/>
      <c r="D298" s="1"/>
      <c r="E298" s="1"/>
      <c r="F298" s="1"/>
      <c r="G298" s="1"/>
    </row>
    <row r="299" spans="1:7" ht="12">
      <c r="A299" s="1"/>
      <c r="B299" s="4"/>
      <c r="C299" s="1"/>
      <c r="D299" s="1"/>
      <c r="E299" s="1"/>
      <c r="F299" s="1"/>
      <c r="G299" s="1"/>
    </row>
    <row r="300" spans="1:7" ht="12">
      <c r="A300" s="1"/>
      <c r="B300" s="4"/>
      <c r="C300" s="1"/>
      <c r="D300" s="1"/>
      <c r="E300" s="1"/>
      <c r="F300" s="1"/>
      <c r="G300" s="1"/>
    </row>
    <row r="301" spans="1:7" ht="12">
      <c r="A301" s="1"/>
      <c r="B301" s="4"/>
      <c r="C301" s="1"/>
      <c r="D301" s="1"/>
      <c r="E301" s="1"/>
      <c r="F301" s="1"/>
      <c r="G301" s="1"/>
    </row>
    <row r="302" spans="1:7" ht="12">
      <c r="A302" s="1"/>
      <c r="B302" s="4"/>
      <c r="C302" s="1"/>
      <c r="D302" s="1"/>
      <c r="E302" s="1"/>
      <c r="F302" s="1"/>
      <c r="G302" s="1"/>
    </row>
    <row r="303" spans="1:7" ht="12">
      <c r="A303" s="1"/>
      <c r="B303" s="4"/>
      <c r="C303" s="1"/>
      <c r="D303" s="1"/>
      <c r="E303" s="1"/>
      <c r="F303" s="1"/>
      <c r="G303" s="1"/>
    </row>
    <row r="304" spans="1:7" ht="12">
      <c r="A304" s="1"/>
      <c r="B304" s="4"/>
      <c r="C304" s="1"/>
      <c r="D304" s="1"/>
      <c r="E304" s="1"/>
      <c r="F304" s="1"/>
      <c r="G304" s="1"/>
    </row>
    <row r="305" spans="1:7" ht="12">
      <c r="A305" s="1"/>
      <c r="B305" s="4"/>
      <c r="C305" s="1"/>
      <c r="D305" s="1"/>
      <c r="E305" s="1"/>
      <c r="F305" s="1"/>
      <c r="G305" s="1"/>
    </row>
    <row r="306" spans="1:7" ht="12">
      <c r="A306" s="1"/>
      <c r="B306" s="4"/>
      <c r="C306" s="1"/>
      <c r="D306" s="1"/>
      <c r="E306" s="1"/>
      <c r="F306" s="1"/>
      <c r="G306" s="1"/>
    </row>
    <row r="307" spans="1:7" ht="12">
      <c r="A307" s="1"/>
      <c r="B307" s="4"/>
      <c r="C307" s="1"/>
      <c r="D307" s="1"/>
      <c r="E307" s="1"/>
      <c r="F307" s="1"/>
      <c r="G307" s="1"/>
    </row>
    <row r="308" spans="1:7" ht="12">
      <c r="A308" s="1"/>
      <c r="B308" s="4"/>
      <c r="C308" s="1"/>
      <c r="D308" s="1"/>
      <c r="E308" s="1"/>
      <c r="F308" s="1"/>
      <c r="G308" s="1"/>
    </row>
    <row r="309" spans="1:7" ht="12">
      <c r="A309" s="1"/>
      <c r="B309" s="4"/>
      <c r="C309" s="1"/>
      <c r="D309" s="1"/>
      <c r="E309" s="1"/>
      <c r="F309" s="1"/>
      <c r="G309" s="1"/>
    </row>
    <row r="310" spans="1:7" ht="12">
      <c r="A310" s="1"/>
      <c r="B310" s="4"/>
      <c r="C310" s="1"/>
      <c r="D310" s="1"/>
      <c r="E310" s="1"/>
      <c r="F310" s="1"/>
      <c r="G310" s="1"/>
    </row>
    <row r="311" spans="1:7" ht="12">
      <c r="A311" s="1"/>
      <c r="B311" s="4"/>
      <c r="C311" s="1"/>
      <c r="D311" s="1"/>
      <c r="E311" s="1"/>
      <c r="F311" s="1"/>
      <c r="G311" s="1"/>
    </row>
    <row r="312" spans="1:7" ht="12">
      <c r="A312" s="1"/>
      <c r="B312" s="4"/>
      <c r="C312" s="1"/>
      <c r="D312" s="1"/>
      <c r="E312" s="1"/>
      <c r="F312" s="1"/>
      <c r="G312" s="1"/>
    </row>
    <row r="313" spans="1:7" ht="12">
      <c r="A313" s="1"/>
      <c r="B313" s="4"/>
      <c r="C313" s="1"/>
      <c r="D313" s="1"/>
      <c r="E313" s="1"/>
      <c r="F313" s="1"/>
      <c r="G313" s="1"/>
    </row>
    <row r="314" spans="1:7" ht="12">
      <c r="A314" s="1"/>
      <c r="B314" s="4"/>
      <c r="C314" s="1"/>
      <c r="D314" s="1"/>
      <c r="E314" s="1"/>
      <c r="F314" s="1"/>
      <c r="G314" s="1"/>
    </row>
    <row r="315" spans="1:7" ht="12">
      <c r="A315" s="1"/>
      <c r="B315" s="4"/>
      <c r="C315" s="1"/>
      <c r="D315" s="1"/>
      <c r="E315" s="1"/>
      <c r="F315" s="1"/>
      <c r="G315" s="1"/>
    </row>
    <row r="316" spans="1:7" ht="12">
      <c r="A316" s="1"/>
      <c r="B316" s="4"/>
      <c r="C316" s="1"/>
      <c r="D316" s="1"/>
      <c r="E316" s="1"/>
      <c r="F316" s="1"/>
      <c r="G316" s="1"/>
    </row>
    <row r="317" spans="1:7" ht="12">
      <c r="A317" s="1"/>
      <c r="B317" s="4"/>
      <c r="C317" s="1"/>
      <c r="D317" s="1"/>
      <c r="E317" s="1"/>
      <c r="F317" s="1"/>
      <c r="G317" s="1"/>
    </row>
    <row r="318" spans="1:7" ht="12">
      <c r="A318" s="1"/>
      <c r="B318" s="4"/>
      <c r="C318" s="1"/>
      <c r="D318" s="1"/>
      <c r="E318" s="1"/>
      <c r="F318" s="1"/>
      <c r="G318" s="1"/>
    </row>
    <row r="319" spans="1:7" ht="12">
      <c r="A319" s="1"/>
      <c r="B319" s="4"/>
      <c r="C319" s="1"/>
      <c r="D319" s="1"/>
      <c r="E319" s="1"/>
      <c r="F319" s="1"/>
      <c r="G319" s="1"/>
    </row>
    <row r="320" spans="1:7" ht="12">
      <c r="A320" s="1"/>
      <c r="B320" s="4"/>
      <c r="C320" s="1"/>
      <c r="D320" s="1"/>
      <c r="E320" s="1"/>
      <c r="F320" s="1"/>
      <c r="G320" s="1"/>
    </row>
    <row r="321" spans="1:7" ht="12">
      <c r="A321" s="1"/>
      <c r="B321" s="4"/>
      <c r="C321" s="1"/>
      <c r="D321" s="1"/>
      <c r="E321" s="1"/>
      <c r="F321" s="1"/>
      <c r="G321" s="1"/>
    </row>
    <row r="322" spans="1:7" ht="12">
      <c r="A322" s="1"/>
      <c r="B322" s="4"/>
      <c r="C322" s="1"/>
      <c r="D322" s="1"/>
      <c r="E322" s="1"/>
      <c r="F322" s="1"/>
      <c r="G322" s="1"/>
    </row>
    <row r="323" spans="1:7" ht="12">
      <c r="A323" s="1"/>
      <c r="B323" s="4"/>
      <c r="C323" s="1"/>
      <c r="D323" s="1"/>
      <c r="E323" s="1"/>
      <c r="F323" s="1"/>
      <c r="G323" s="1"/>
    </row>
    <row r="324" spans="1:7" ht="12">
      <c r="A324" s="1"/>
      <c r="B324" s="4"/>
      <c r="C324" s="1"/>
      <c r="D324" s="1"/>
      <c r="E324" s="1"/>
      <c r="F324" s="1"/>
      <c r="G324" s="1"/>
    </row>
    <row r="325" spans="1:7" ht="12">
      <c r="A325" s="1"/>
      <c r="B325" s="4"/>
      <c r="C325" s="1"/>
      <c r="D325" s="1"/>
      <c r="E325" s="1"/>
      <c r="F325" s="1"/>
      <c r="G325" s="1"/>
    </row>
    <row r="326" spans="1:7" ht="12">
      <c r="A326" s="1"/>
      <c r="B326" s="4"/>
      <c r="C326" s="1"/>
      <c r="D326" s="1"/>
      <c r="E326" s="1"/>
      <c r="F326" s="1"/>
      <c r="G326" s="1"/>
    </row>
    <row r="327" spans="1:7" ht="12">
      <c r="A327" s="1"/>
      <c r="B327" s="4"/>
      <c r="C327" s="1"/>
      <c r="D327" s="1"/>
      <c r="E327" s="1"/>
      <c r="F327" s="1"/>
      <c r="G327" s="1"/>
    </row>
    <row r="328" spans="1:7" ht="12">
      <c r="A328" s="1"/>
      <c r="B328" s="4"/>
      <c r="C328" s="1"/>
      <c r="D328" s="1"/>
      <c r="E328" s="1"/>
      <c r="F328" s="1"/>
      <c r="G328" s="1"/>
    </row>
    <row r="329" spans="1:7" ht="12">
      <c r="A329" s="1"/>
      <c r="B329" s="4"/>
      <c r="C329" s="1"/>
      <c r="D329" s="1"/>
      <c r="E329" s="1"/>
      <c r="F329" s="1"/>
      <c r="G329" s="1"/>
    </row>
    <row r="330" spans="1:7" ht="12">
      <c r="A330" s="1"/>
      <c r="B330" s="4"/>
      <c r="C330" s="1"/>
      <c r="D330" s="1"/>
      <c r="E330" s="1"/>
      <c r="F330" s="1"/>
      <c r="G330" s="1"/>
    </row>
    <row r="331" spans="1:7" ht="12">
      <c r="A331" s="1"/>
      <c r="B331" s="4"/>
      <c r="C331" s="1"/>
      <c r="D331" s="1"/>
      <c r="E331" s="1"/>
      <c r="F331" s="1"/>
      <c r="G331" s="1"/>
    </row>
    <row r="332" spans="1:7" ht="12">
      <c r="A332" s="1"/>
      <c r="B332" s="4"/>
      <c r="C332" s="1"/>
      <c r="D332" s="1"/>
      <c r="E332" s="1"/>
      <c r="F332" s="1"/>
      <c r="G332" s="1"/>
    </row>
    <row r="333" spans="1:7" ht="12">
      <c r="A333" s="1"/>
      <c r="B333" s="4"/>
      <c r="C333" s="1"/>
      <c r="D333" s="1"/>
      <c r="E333" s="1"/>
      <c r="F333" s="1"/>
      <c r="G333" s="1"/>
    </row>
    <row r="334" spans="1:7" ht="12">
      <c r="A334" s="1"/>
      <c r="B334" s="4"/>
      <c r="C334" s="1"/>
      <c r="D334" s="1"/>
      <c r="E334" s="1"/>
      <c r="F334" s="1"/>
      <c r="G334" s="1"/>
    </row>
    <row r="335" spans="1:7" ht="12">
      <c r="A335" s="1"/>
      <c r="B335" s="4"/>
      <c r="C335" s="1"/>
      <c r="D335" s="1"/>
      <c r="E335" s="1"/>
      <c r="F335" s="1"/>
      <c r="G335" s="1"/>
    </row>
    <row r="336" spans="1:7" ht="12">
      <c r="A336" s="1"/>
      <c r="B336" s="4"/>
      <c r="C336" s="1"/>
      <c r="D336" s="1"/>
      <c r="E336" s="1"/>
      <c r="F336" s="1"/>
      <c r="G336" s="1"/>
    </row>
    <row r="337" spans="1:7" ht="12">
      <c r="A337" s="1"/>
      <c r="B337" s="4"/>
      <c r="C337" s="1"/>
      <c r="D337" s="1"/>
      <c r="E337" s="1"/>
      <c r="F337" s="1"/>
      <c r="G337" s="1"/>
    </row>
    <row r="338" spans="1:7" ht="12">
      <c r="A338" s="1"/>
      <c r="B338" s="4"/>
      <c r="C338" s="1"/>
      <c r="D338" s="1"/>
      <c r="E338" s="1"/>
      <c r="F338" s="1"/>
      <c r="G338" s="1"/>
    </row>
    <row r="339" spans="1:7" ht="12">
      <c r="A339" s="1"/>
      <c r="B339" s="4"/>
      <c r="C339" s="1"/>
      <c r="D339" s="1"/>
      <c r="E339" s="1"/>
      <c r="F339" s="1"/>
      <c r="G339" s="1"/>
    </row>
    <row r="340" spans="1:7" ht="12">
      <c r="A340" s="1"/>
      <c r="B340" s="4"/>
      <c r="C340" s="1"/>
      <c r="D340" s="1"/>
      <c r="E340" s="1"/>
      <c r="F340" s="1"/>
      <c r="G340" s="1"/>
    </row>
    <row r="341" spans="1:7" ht="12">
      <c r="A341" s="1"/>
      <c r="B341" s="4"/>
      <c r="C341" s="1"/>
      <c r="D341" s="1"/>
      <c r="E341" s="1"/>
      <c r="F341" s="1"/>
      <c r="G341" s="1"/>
    </row>
    <row r="342" spans="1:7" ht="12">
      <c r="A342" s="1"/>
      <c r="B342" s="4"/>
      <c r="C342" s="1"/>
      <c r="D342" s="1"/>
      <c r="E342" s="1"/>
      <c r="F342" s="1"/>
      <c r="G342" s="1"/>
    </row>
    <row r="343" spans="1:7" ht="12">
      <c r="A343" s="1"/>
      <c r="B343" s="4"/>
      <c r="C343" s="1"/>
      <c r="D343" s="1"/>
      <c r="E343" s="1"/>
      <c r="F343" s="1"/>
      <c r="G343" s="1"/>
    </row>
    <row r="344" spans="1:7" ht="12">
      <c r="A344" s="1"/>
      <c r="B344" s="4"/>
      <c r="C344" s="1"/>
      <c r="D344" s="1"/>
      <c r="E344" s="1"/>
      <c r="F344" s="1"/>
      <c r="G344" s="1"/>
    </row>
    <row r="345" spans="1:7" ht="12">
      <c r="A345" s="1"/>
      <c r="B345" s="4"/>
      <c r="C345" s="1"/>
      <c r="D345" s="1"/>
      <c r="E345" s="1"/>
      <c r="F345" s="1"/>
      <c r="G345" s="1"/>
    </row>
    <row r="346" spans="1:7" ht="12">
      <c r="A346" s="1"/>
      <c r="B346" s="4"/>
      <c r="C346" s="1"/>
      <c r="D346" s="1"/>
      <c r="E346" s="1"/>
      <c r="F346" s="1"/>
      <c r="G346" s="1"/>
    </row>
    <row r="347" spans="1:7" ht="12">
      <c r="A347" s="1"/>
      <c r="B347" s="4"/>
      <c r="C347" s="1"/>
      <c r="D347" s="1"/>
      <c r="E347" s="1"/>
      <c r="F347" s="1"/>
      <c r="G347" s="1"/>
    </row>
    <row r="348" spans="1:7" ht="12">
      <c r="A348" s="1"/>
      <c r="B348" s="4"/>
      <c r="C348" s="1"/>
      <c r="D348" s="1"/>
      <c r="E348" s="1"/>
      <c r="F348" s="1"/>
      <c r="G348" s="1"/>
    </row>
    <row r="349" spans="1:7" ht="12">
      <c r="A349" s="1"/>
      <c r="B349" s="4"/>
      <c r="C349" s="1"/>
      <c r="D349" s="1"/>
      <c r="E349" s="1"/>
      <c r="F349" s="1"/>
      <c r="G349" s="1"/>
    </row>
    <row r="350" spans="1:7" ht="12">
      <c r="A350" s="1"/>
      <c r="B350" s="4"/>
      <c r="C350" s="1"/>
      <c r="D350" s="1"/>
      <c r="E350" s="1"/>
      <c r="F350" s="1"/>
      <c r="G350" s="1"/>
    </row>
    <row r="351" spans="1:7" ht="12">
      <c r="A351" s="1"/>
      <c r="B351" s="4"/>
      <c r="C351" s="1"/>
      <c r="D351" s="1"/>
      <c r="E351" s="1"/>
      <c r="F351" s="1"/>
      <c r="G351" s="1"/>
    </row>
    <row r="352" spans="1:7" ht="12">
      <c r="A352" s="1"/>
      <c r="B352" s="4"/>
      <c r="C352" s="1"/>
      <c r="D352" s="1"/>
      <c r="E352" s="1"/>
      <c r="F352" s="1"/>
      <c r="G352" s="1"/>
    </row>
    <row r="353" spans="1:7" ht="12">
      <c r="A353" s="1"/>
      <c r="B353" s="4"/>
      <c r="C353" s="1"/>
      <c r="D353" s="1"/>
      <c r="E353" s="1"/>
      <c r="F353" s="1"/>
      <c r="G353" s="1"/>
    </row>
    <row r="354" spans="1:7" ht="12">
      <c r="A354" s="1"/>
      <c r="B354" s="4"/>
      <c r="C354" s="1"/>
      <c r="D354" s="1"/>
      <c r="E354" s="1"/>
      <c r="F354" s="1"/>
      <c r="G354" s="1"/>
    </row>
    <row r="355" spans="1:7" ht="12">
      <c r="A355" s="1"/>
      <c r="B355" s="4"/>
      <c r="C355" s="1"/>
      <c r="D355" s="1"/>
      <c r="E355" s="1"/>
      <c r="F355" s="1"/>
      <c r="G355" s="1"/>
    </row>
    <row r="356" spans="1:7" ht="12">
      <c r="A356" s="1"/>
      <c r="B356" s="4"/>
      <c r="C356" s="1"/>
      <c r="D356" s="1"/>
      <c r="E356" s="1"/>
      <c r="F356" s="1"/>
      <c r="G356" s="1"/>
    </row>
    <row r="357" spans="1:7" ht="12">
      <c r="A357" s="1"/>
      <c r="B357" s="4"/>
      <c r="C357" s="1"/>
      <c r="D357" s="1"/>
      <c r="E357" s="1"/>
      <c r="F357" s="1"/>
      <c r="G357" s="1"/>
    </row>
  </sheetData>
  <sheetProtection password="D8FD" sheet="1" objects="1" scenarios="1"/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scale="96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AE40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7.57421875" style="0" customWidth="1"/>
    <col min="2" max="2" width="13.140625" style="3" customWidth="1"/>
    <col min="3" max="3" width="12.8515625" style="0" customWidth="1"/>
    <col min="4" max="4" width="10.8515625" style="0" customWidth="1"/>
    <col min="5" max="5" width="13.28125" style="0" customWidth="1"/>
    <col min="6" max="6" width="11.28125" style="0" customWidth="1"/>
    <col min="7" max="7" width="10.00390625" style="0" customWidth="1"/>
    <col min="8" max="8" width="45.00390625" style="0" customWidth="1"/>
    <col min="9" max="9" width="2.8515625" style="0" customWidth="1"/>
    <col min="10" max="10" width="11.28125" style="0" bestFit="1" customWidth="1"/>
    <col min="11" max="11" width="9.28125" style="0" customWidth="1"/>
    <col min="12" max="12" width="14.421875" style="0" customWidth="1"/>
    <col min="13" max="13" width="14.57421875" style="0" customWidth="1"/>
    <col min="14" max="14" width="14.7109375" style="0" customWidth="1"/>
    <col min="15" max="15" width="19.8515625" style="0" customWidth="1"/>
    <col min="16" max="16" width="13.140625" style="0" customWidth="1"/>
    <col min="17" max="17" width="11.57421875" style="0" customWidth="1"/>
    <col min="18" max="18" width="9.7109375" style="0" customWidth="1"/>
    <col min="19" max="19" width="13.28125" style="0" customWidth="1"/>
    <col min="20" max="20" width="11.7109375" style="0" customWidth="1"/>
    <col min="21" max="21" width="12.8515625" style="0" customWidth="1"/>
    <col min="22" max="23" width="10.7109375" style="0" customWidth="1"/>
    <col min="24" max="24" width="11.7109375" style="0" customWidth="1"/>
    <col min="25" max="25" width="13.421875" style="0" customWidth="1"/>
    <col min="26" max="26" width="15.00390625" style="0" customWidth="1"/>
    <col min="27" max="27" width="13.57421875" style="0" customWidth="1"/>
    <col min="28" max="28" width="10.7109375" style="0" customWidth="1"/>
    <col min="29" max="29" width="9.28125" style="0" customWidth="1"/>
  </cols>
  <sheetData>
    <row r="1" spans="1:31" ht="24" customHeight="1">
      <c r="A1" s="76" t="s">
        <v>158</v>
      </c>
      <c r="B1" s="6"/>
      <c r="C1" s="7"/>
      <c r="D1" s="7"/>
      <c r="E1" s="7"/>
      <c r="F1" s="253">
        <f>YEAR(D11)</f>
        <v>2017</v>
      </c>
      <c r="G1" s="7"/>
      <c r="H1" s="27" t="s">
        <v>223</v>
      </c>
      <c r="I1" s="27"/>
      <c r="J1" s="21"/>
      <c r="K1" s="21"/>
      <c r="L1" s="94">
        <f>D11</f>
        <v>42979</v>
      </c>
      <c r="M1" s="18"/>
      <c r="N1" s="18"/>
      <c r="O1" s="18"/>
      <c r="P1" s="18"/>
      <c r="Q1" s="1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s="2" customFormat="1" ht="12.75">
      <c r="A2" s="37" t="str">
        <f>Istruzioni!B66</f>
        <v>minapoli software</v>
      </c>
      <c r="B2" s="9"/>
      <c r="C2" s="5"/>
      <c r="D2" s="5"/>
      <c r="E2" s="5"/>
      <c r="F2" s="5"/>
      <c r="G2" s="5"/>
      <c r="H2" s="19"/>
      <c r="I2" s="19"/>
      <c r="J2" s="19"/>
      <c r="K2" s="19"/>
      <c r="L2" s="19"/>
      <c r="M2" s="19"/>
      <c r="N2" s="19"/>
      <c r="O2" s="19"/>
      <c r="P2" s="19"/>
      <c r="Q2" s="19"/>
      <c r="R2" s="28" t="s">
        <v>140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2.75">
      <c r="A3" s="58"/>
      <c r="B3" s="9"/>
      <c r="C3" s="5"/>
      <c r="D3" s="5"/>
      <c r="E3" s="5"/>
      <c r="F3" s="5"/>
      <c r="G3" s="5"/>
      <c r="H3" s="20"/>
      <c r="I3" s="20"/>
      <c r="J3" s="20"/>
      <c r="K3" s="20"/>
      <c r="L3" s="22"/>
      <c r="M3" s="19"/>
      <c r="N3" s="19"/>
      <c r="O3" s="19"/>
      <c r="P3" s="22"/>
      <c r="Q3" s="18"/>
      <c r="R3" s="28"/>
      <c r="S3" s="80" t="s">
        <v>16</v>
      </c>
      <c r="T3" s="80" t="s">
        <v>18</v>
      </c>
      <c r="U3" s="80" t="s">
        <v>16</v>
      </c>
      <c r="V3" s="80" t="s">
        <v>20</v>
      </c>
      <c r="W3" s="80" t="s">
        <v>23</v>
      </c>
      <c r="X3" s="80" t="s">
        <v>21</v>
      </c>
      <c r="Y3" s="80" t="s">
        <v>20</v>
      </c>
      <c r="Z3" s="80" t="s">
        <v>16</v>
      </c>
      <c r="AA3" s="80" t="s">
        <v>16</v>
      </c>
      <c r="AB3" s="28"/>
      <c r="AC3" s="28"/>
      <c r="AD3" s="28"/>
      <c r="AE3" s="28"/>
    </row>
    <row r="4" spans="1:31" ht="12.75">
      <c r="A4" s="58"/>
      <c r="B4" s="9"/>
      <c r="C4" s="5"/>
      <c r="D4" s="5"/>
      <c r="E4" s="5"/>
      <c r="F4" s="5"/>
      <c r="G4" s="5"/>
      <c r="H4" s="18"/>
      <c r="I4" s="18"/>
      <c r="J4" s="23"/>
      <c r="K4" s="23"/>
      <c r="L4" s="18"/>
      <c r="M4" s="18"/>
      <c r="N4" s="18"/>
      <c r="O4" s="18"/>
      <c r="P4" s="18"/>
      <c r="Q4" s="18"/>
      <c r="R4" s="28"/>
      <c r="S4" s="81" t="s">
        <v>17</v>
      </c>
      <c r="T4" s="81"/>
      <c r="U4" s="81" t="s">
        <v>19</v>
      </c>
      <c r="V4" s="81"/>
      <c r="W4" s="81"/>
      <c r="X4" s="81" t="s">
        <v>22</v>
      </c>
      <c r="Y4" s="81" t="s">
        <v>24</v>
      </c>
      <c r="Z4" s="81" t="s">
        <v>25</v>
      </c>
      <c r="AA4" s="81" t="s">
        <v>26</v>
      </c>
      <c r="AB4" s="28"/>
      <c r="AC4" s="28"/>
      <c r="AD4" s="28"/>
      <c r="AE4" s="28"/>
    </row>
    <row r="5" spans="1:31" ht="12">
      <c r="A5" s="5" t="s">
        <v>5</v>
      </c>
      <c r="B5" s="9"/>
      <c r="C5" s="5"/>
      <c r="D5" s="5"/>
      <c r="E5" s="5"/>
      <c r="F5" s="5"/>
      <c r="G5" s="5"/>
      <c r="H5" s="18"/>
      <c r="I5" s="18"/>
      <c r="J5" s="52"/>
      <c r="K5" s="18"/>
      <c r="L5" s="18"/>
      <c r="M5" s="18"/>
      <c r="N5" s="18"/>
      <c r="O5" s="18"/>
      <c r="P5" s="47"/>
      <c r="Q5" s="18"/>
      <c r="R5" s="28">
        <v>1993</v>
      </c>
      <c r="S5" s="77">
        <v>0</v>
      </c>
      <c r="T5" s="78">
        <f>D44</f>
        <v>1.088611</v>
      </c>
      <c r="U5" s="77">
        <f>S5*T5</f>
        <v>0</v>
      </c>
      <c r="V5" s="77">
        <f>C44</f>
        <v>6997.9000000000015</v>
      </c>
      <c r="W5" s="79">
        <v>360</v>
      </c>
      <c r="X5" s="77">
        <v>26.97</v>
      </c>
      <c r="Y5" s="77">
        <f>V5*T5</f>
        <v>7617.990916900001</v>
      </c>
      <c r="Z5" s="77">
        <f>Y5*W5*X5/100</f>
        <v>739645.974103655</v>
      </c>
      <c r="AA5" s="77">
        <f>U5+Z5</f>
        <v>739645.974103655</v>
      </c>
      <c r="AB5" s="28"/>
      <c r="AC5" s="28"/>
      <c r="AD5" s="28"/>
      <c r="AE5" s="28"/>
    </row>
    <row r="6" spans="1:31" ht="12.75">
      <c r="A6" s="221" t="str">
        <f>Datipers!B6</f>
        <v>BIANCHI BIANCA</v>
      </c>
      <c r="B6" s="9"/>
      <c r="C6" s="5"/>
      <c r="D6" s="5"/>
      <c r="E6" s="5"/>
      <c r="F6" s="5"/>
      <c r="G6" s="5"/>
      <c r="H6" s="18"/>
      <c r="I6" s="18"/>
      <c r="J6" s="18"/>
      <c r="K6" s="18"/>
      <c r="L6" s="18"/>
      <c r="M6" s="18"/>
      <c r="N6" s="18"/>
      <c r="O6" s="18"/>
      <c r="P6" s="47"/>
      <c r="Q6" s="18"/>
      <c r="R6" s="28">
        <v>1994</v>
      </c>
      <c r="S6" s="77">
        <f>AA5</f>
        <v>739645.974103655</v>
      </c>
      <c r="T6" s="78">
        <f>D45</f>
        <v>1.07299</v>
      </c>
      <c r="U6" s="77">
        <f>S6*T6</f>
        <v>793632.7337534808</v>
      </c>
      <c r="V6" s="77">
        <f>C45</f>
        <v>6997.9000000000015</v>
      </c>
      <c r="W6" s="79">
        <v>360</v>
      </c>
      <c r="X6" s="77">
        <v>26.97</v>
      </c>
      <c r="Y6" s="77">
        <f>V6*T6</f>
        <v>7508.6767210000025</v>
      </c>
      <c r="Z6" s="77">
        <f>Y6*W6*X6/100</f>
        <v>729032.4401953322</v>
      </c>
      <c r="AA6" s="77">
        <f>U6+Z6</f>
        <v>1522665.173948813</v>
      </c>
      <c r="AB6" s="28"/>
      <c r="AC6" s="28"/>
      <c r="AD6" s="28"/>
      <c r="AE6" s="28"/>
    </row>
    <row r="7" spans="1:31" ht="12">
      <c r="A7" s="117" t="s">
        <v>46</v>
      </c>
      <c r="B7" s="9"/>
      <c r="C7" s="5"/>
      <c r="D7" s="5"/>
      <c r="E7" s="5"/>
      <c r="F7" s="5"/>
      <c r="G7" s="5"/>
      <c r="H7" s="18" t="s">
        <v>274</v>
      </c>
      <c r="I7" s="18"/>
      <c r="J7" s="18"/>
      <c r="K7" s="18"/>
      <c r="L7" s="85">
        <f>ROUND(S16,2)</f>
        <v>2176.73</v>
      </c>
      <c r="M7" s="18"/>
      <c r="N7" s="18"/>
      <c r="O7" s="18"/>
      <c r="P7" s="47"/>
      <c r="Q7" s="18"/>
      <c r="R7" s="28">
        <v>1995</v>
      </c>
      <c r="S7" s="77">
        <f>AA6</f>
        <v>1522665.173948813</v>
      </c>
      <c r="T7" s="78">
        <f>D46</f>
        <v>1.065726</v>
      </c>
      <c r="U7" s="77">
        <f>S7*T7</f>
        <v>1622743.8651717727</v>
      </c>
      <c r="V7" s="77">
        <f>C46</f>
        <v>6997.9000000000015</v>
      </c>
      <c r="W7" s="79">
        <v>360</v>
      </c>
      <c r="X7" s="77">
        <v>27.12</v>
      </c>
      <c r="Y7" s="77">
        <f>V7*T7</f>
        <v>7457.843975400001</v>
      </c>
      <c r="Z7" s="77">
        <f>Y7*W7*X7/100</f>
        <v>728124.2230062529</v>
      </c>
      <c r="AA7" s="77">
        <f>U7+Z7</f>
        <v>2350868.0881780256</v>
      </c>
      <c r="AB7" s="28"/>
      <c r="AC7" s="28"/>
      <c r="AD7" s="28"/>
      <c r="AE7" s="28"/>
    </row>
    <row r="8" spans="1:31" ht="14.25" customHeight="1">
      <c r="A8" s="221" t="str">
        <f>Datipers!B8</f>
        <v>Insegnante second. superiore</v>
      </c>
      <c r="B8" s="9"/>
      <c r="C8" s="5"/>
      <c r="D8" s="5"/>
      <c r="E8" s="5"/>
      <c r="F8" s="5"/>
      <c r="G8" s="5"/>
      <c r="H8" s="18" t="s">
        <v>29</v>
      </c>
      <c r="I8" s="18"/>
      <c r="J8" s="85">
        <f>E117</f>
        <v>26.67</v>
      </c>
      <c r="K8" s="86">
        <f>J8/100</f>
        <v>0.2667</v>
      </c>
      <c r="L8" s="18"/>
      <c r="M8" s="18"/>
      <c r="N8" s="18"/>
      <c r="O8" s="18"/>
      <c r="P8" s="47"/>
      <c r="Q8" s="18"/>
      <c r="R8" s="28"/>
      <c r="S8" s="28"/>
      <c r="T8" s="28"/>
      <c r="U8" s="28"/>
      <c r="V8" s="28"/>
      <c r="W8" s="82">
        <f>W5+W6+W7</f>
        <v>1080</v>
      </c>
      <c r="X8" s="28"/>
      <c r="Y8" s="28"/>
      <c r="Z8" s="28"/>
      <c r="AA8" s="83">
        <f>AA7/W8</f>
        <v>2176.7297112759497</v>
      </c>
      <c r="AB8" s="28" t="s">
        <v>275</v>
      </c>
      <c r="AC8" s="28"/>
      <c r="AD8" s="28"/>
      <c r="AE8" s="28"/>
    </row>
    <row r="9" spans="1:31" ht="14.25" customHeight="1">
      <c r="A9" s="9"/>
      <c r="B9" s="9"/>
      <c r="C9" s="5"/>
      <c r="D9" s="5"/>
      <c r="E9" s="5"/>
      <c r="F9" s="5"/>
      <c r="G9" s="5"/>
      <c r="H9" s="19" t="s">
        <v>50</v>
      </c>
      <c r="I9" s="19"/>
      <c r="J9" s="85">
        <f>VLOOKUP(F1,S35:T40,2)</f>
        <v>32.99</v>
      </c>
      <c r="K9" s="86">
        <f>J9/100</f>
        <v>0.3299</v>
      </c>
      <c r="L9" s="18"/>
      <c r="M9" s="19"/>
      <c r="N9" s="19"/>
      <c r="O9" s="19"/>
      <c r="P9" s="53"/>
      <c r="Q9" s="18"/>
      <c r="R9" s="28"/>
      <c r="S9" s="28"/>
      <c r="T9" s="28"/>
      <c r="U9" s="28"/>
      <c r="V9" s="28"/>
      <c r="W9" s="28"/>
      <c r="X9" s="28"/>
      <c r="Y9" s="28"/>
      <c r="Z9" s="96"/>
      <c r="AA9" s="28"/>
      <c r="AB9" s="28"/>
      <c r="AC9" s="28"/>
      <c r="AD9" s="28"/>
      <c r="AE9" s="28"/>
    </row>
    <row r="10" spans="1:31" ht="12.75">
      <c r="A10" s="5" t="s">
        <v>6</v>
      </c>
      <c r="B10" s="9"/>
      <c r="C10" s="5"/>
      <c r="D10" s="320">
        <f>Datipers!F10</f>
        <v>21006</v>
      </c>
      <c r="E10" s="5"/>
      <c r="F10" s="5"/>
      <c r="G10" s="5"/>
      <c r="H10" s="18" t="s">
        <v>30</v>
      </c>
      <c r="I10" s="18"/>
      <c r="J10" s="18"/>
      <c r="K10" s="87">
        <f>L10</f>
        <v>1080</v>
      </c>
      <c r="L10" s="317">
        <f>Anzianità!D64</f>
        <v>1080</v>
      </c>
      <c r="M10" s="18"/>
      <c r="N10" s="18"/>
      <c r="O10" s="18"/>
      <c r="P10" s="24"/>
      <c r="Q10" s="18"/>
      <c r="R10" s="28" t="s">
        <v>141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12.75">
      <c r="A11" s="5" t="s">
        <v>13</v>
      </c>
      <c r="B11" s="9"/>
      <c r="C11" s="5"/>
      <c r="D11" s="320">
        <f>Datipers!F11</f>
        <v>42979</v>
      </c>
      <c r="E11" s="5"/>
      <c r="F11" s="5"/>
      <c r="G11" s="5"/>
      <c r="H11" s="18" t="s">
        <v>31</v>
      </c>
      <c r="I11" s="18"/>
      <c r="J11" s="50"/>
      <c r="K11" s="87">
        <f>C116</f>
        <v>360</v>
      </c>
      <c r="L11" s="18"/>
      <c r="M11" s="18"/>
      <c r="N11" s="18"/>
      <c r="O11" s="18"/>
      <c r="P11" s="47"/>
      <c r="Q11" s="18"/>
      <c r="R11" s="28"/>
      <c r="S11" s="80" t="s">
        <v>16</v>
      </c>
      <c r="T11" s="80" t="s">
        <v>18</v>
      </c>
      <c r="U11" s="80" t="s">
        <v>16</v>
      </c>
      <c r="V11" s="80" t="s">
        <v>20</v>
      </c>
      <c r="W11" s="80" t="s">
        <v>23</v>
      </c>
      <c r="X11" s="80" t="s">
        <v>21</v>
      </c>
      <c r="Y11" s="80" t="s">
        <v>20</v>
      </c>
      <c r="Z11" s="80" t="s">
        <v>16</v>
      </c>
      <c r="AA11" s="80" t="s">
        <v>16</v>
      </c>
      <c r="AB11" s="28"/>
      <c r="AC11" s="28"/>
      <c r="AD11" s="28"/>
      <c r="AE11" s="28"/>
    </row>
    <row r="12" spans="1:31" ht="12">
      <c r="A12" s="9"/>
      <c r="B12" s="9"/>
      <c r="C12" s="5"/>
      <c r="D12" s="117"/>
      <c r="E12" s="5"/>
      <c r="F12" s="5"/>
      <c r="G12" s="5"/>
      <c r="H12" s="18" t="s">
        <v>33</v>
      </c>
      <c r="I12" s="18"/>
      <c r="J12" s="51">
        <f>J8/J9</f>
        <v>0.8084267959987875</v>
      </c>
      <c r="K12" s="18"/>
      <c r="L12" s="18"/>
      <c r="M12" s="18"/>
      <c r="N12" s="18"/>
      <c r="O12" s="18"/>
      <c r="P12" s="47"/>
      <c r="Q12" s="18"/>
      <c r="R12" s="28"/>
      <c r="S12" s="81" t="s">
        <v>17</v>
      </c>
      <c r="T12" s="81"/>
      <c r="U12" s="81" t="s">
        <v>19</v>
      </c>
      <c r="V12" s="81"/>
      <c r="W12" s="81"/>
      <c r="X12" s="81" t="s">
        <v>22</v>
      </c>
      <c r="Y12" s="81" t="s">
        <v>24</v>
      </c>
      <c r="Z12" s="81" t="s">
        <v>25</v>
      </c>
      <c r="AA12" s="81" t="s">
        <v>26</v>
      </c>
      <c r="AB12" s="28"/>
      <c r="AC12" s="28"/>
      <c r="AD12" s="28"/>
      <c r="AE12" s="28"/>
    </row>
    <row r="13" spans="1:31" ht="12">
      <c r="A13" s="9"/>
      <c r="B13" s="5"/>
      <c r="C13" s="5"/>
      <c r="D13" s="5"/>
      <c r="E13" s="5"/>
      <c r="F13" s="5"/>
      <c r="G13" s="5"/>
      <c r="H13" s="18" t="s">
        <v>34</v>
      </c>
      <c r="I13" s="18"/>
      <c r="J13" s="69">
        <f>ROUND(K10+J12*K11,4)</f>
        <v>1371.0336</v>
      </c>
      <c r="K13" s="51"/>
      <c r="L13" s="18"/>
      <c r="M13" s="18"/>
      <c r="N13" s="18"/>
      <c r="O13" s="18"/>
      <c r="P13" s="47"/>
      <c r="Q13" s="18"/>
      <c r="R13" s="28">
        <v>1994</v>
      </c>
      <c r="S13" s="77">
        <v>0</v>
      </c>
      <c r="T13" s="78">
        <f>D45</f>
        <v>1.07299</v>
      </c>
      <c r="U13" s="77">
        <f>S13*T13</f>
        <v>0</v>
      </c>
      <c r="V13" s="77">
        <f>C45</f>
        <v>6997.9000000000015</v>
      </c>
      <c r="W13" s="79">
        <v>180</v>
      </c>
      <c r="X13" s="77">
        <v>26.97</v>
      </c>
      <c r="Y13" s="77">
        <f>V13*T13</f>
        <v>7508.6767210000025</v>
      </c>
      <c r="Z13" s="77">
        <f>Y13*W13*X13/100</f>
        <v>364516.2200976661</v>
      </c>
      <c r="AA13" s="77">
        <f>U13+Z13</f>
        <v>364516.2200976661</v>
      </c>
      <c r="AB13" s="28"/>
      <c r="AC13" s="28"/>
      <c r="AD13" s="28"/>
      <c r="AE13" s="28"/>
    </row>
    <row r="14" spans="1:31" ht="12.75">
      <c r="A14" s="9"/>
      <c r="B14" s="5"/>
      <c r="C14" s="5"/>
      <c r="D14" s="5"/>
      <c r="E14" s="5"/>
      <c r="F14" s="5"/>
      <c r="G14" s="5"/>
      <c r="H14" s="26" t="s">
        <v>32</v>
      </c>
      <c r="I14" s="19"/>
      <c r="J14" s="19"/>
      <c r="K14" s="26"/>
      <c r="L14" s="88">
        <f>(L7*J13)/360</f>
        <v>8289.916578133332</v>
      </c>
      <c r="M14" s="19"/>
      <c r="N14" s="19"/>
      <c r="O14" s="19"/>
      <c r="P14" s="24"/>
      <c r="Q14" s="18"/>
      <c r="R14" s="28">
        <v>1995</v>
      </c>
      <c r="S14" s="77">
        <f>AA13</f>
        <v>364516.2200976661</v>
      </c>
      <c r="T14" s="78">
        <f>D46</f>
        <v>1.065726</v>
      </c>
      <c r="U14" s="77">
        <f>S14*T14</f>
        <v>388474.41317980527</v>
      </c>
      <c r="V14" s="77">
        <f>C46</f>
        <v>6997.9000000000015</v>
      </c>
      <c r="W14" s="79">
        <v>360</v>
      </c>
      <c r="X14" s="77">
        <v>27.12</v>
      </c>
      <c r="Y14" s="77">
        <f>V14*T14</f>
        <v>7457.843975400001</v>
      </c>
      <c r="Z14" s="77">
        <f>Y14*W14*X14/100</f>
        <v>728124.2230062529</v>
      </c>
      <c r="AA14" s="77">
        <f>U14+Z14</f>
        <v>1116598.6361860582</v>
      </c>
      <c r="AB14" s="28"/>
      <c r="AC14" s="28"/>
      <c r="AD14" s="28"/>
      <c r="AE14" s="28"/>
    </row>
    <row r="15" spans="1:31" ht="12.75">
      <c r="A15" s="73" t="s">
        <v>279</v>
      </c>
      <c r="B15" s="5"/>
      <c r="C15" s="5"/>
      <c r="D15" s="5"/>
      <c r="E15" s="5"/>
      <c r="F15" s="5"/>
      <c r="G15" s="5"/>
      <c r="H15" s="18"/>
      <c r="I15" s="18"/>
      <c r="J15" s="18"/>
      <c r="K15" s="18"/>
      <c r="L15" s="18"/>
      <c r="M15" s="18"/>
      <c r="N15" s="18"/>
      <c r="O15" s="18"/>
      <c r="P15" s="47"/>
      <c r="Q15" s="18"/>
      <c r="R15" s="28"/>
      <c r="S15" s="28"/>
      <c r="T15" s="28"/>
      <c r="U15" s="28"/>
      <c r="V15" s="28"/>
      <c r="W15" s="82">
        <f>W13+W14</f>
        <v>540</v>
      </c>
      <c r="X15" s="28"/>
      <c r="Y15" s="28"/>
      <c r="Z15" s="28"/>
      <c r="AA15" s="83">
        <f>AA14/W15</f>
        <v>2067.775252196404</v>
      </c>
      <c r="AB15" s="28" t="s">
        <v>276</v>
      </c>
      <c r="AC15" s="28"/>
      <c r="AD15" s="28"/>
      <c r="AE15" s="28"/>
    </row>
    <row r="16" spans="1:31" ht="12.75">
      <c r="A16" s="73" t="s">
        <v>221</v>
      </c>
      <c r="B16" s="5"/>
      <c r="C16" s="5"/>
      <c r="D16" s="5"/>
      <c r="E16" s="5"/>
      <c r="F16" s="5"/>
      <c r="G16" s="5"/>
      <c r="H16" s="25" t="s">
        <v>47</v>
      </c>
      <c r="I16" s="18"/>
      <c r="J16" s="50"/>
      <c r="K16" s="51"/>
      <c r="L16" s="91">
        <f>Y71</f>
        <v>73904.68657545635</v>
      </c>
      <c r="M16" s="25"/>
      <c r="N16" s="25"/>
      <c r="O16" s="25"/>
      <c r="P16" s="47"/>
      <c r="Q16" s="18"/>
      <c r="R16" s="28"/>
      <c r="S16" s="90">
        <f>IF(C116&gt;T16,AA15,AA8)</f>
        <v>2176.7297112759497</v>
      </c>
      <c r="T16" s="67">
        <f>15*360-15</f>
        <v>5385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ht="12">
      <c r="A17" s="73" t="s">
        <v>222</v>
      </c>
      <c r="B17" s="5"/>
      <c r="C17" s="5"/>
      <c r="D17" s="5"/>
      <c r="E17" s="5"/>
      <c r="F17" s="5"/>
      <c r="G17" s="5"/>
      <c r="H17" s="18"/>
      <c r="I17" s="18"/>
      <c r="J17" s="50"/>
      <c r="K17" s="51"/>
      <c r="L17" s="18"/>
      <c r="M17" s="18"/>
      <c r="N17" s="18"/>
      <c r="O17" s="18"/>
      <c r="P17" s="47"/>
      <c r="Q17" s="1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ht="12.75">
      <c r="A18" s="9"/>
      <c r="B18" s="5"/>
      <c r="C18" s="5"/>
      <c r="D18" s="5"/>
      <c r="E18" s="5"/>
      <c r="F18" s="5"/>
      <c r="G18" s="5"/>
      <c r="H18" s="18" t="s">
        <v>49</v>
      </c>
      <c r="I18" s="18"/>
      <c r="J18" s="47">
        <f>DAYS360(D10,D11)-DAY(D11)+1</f>
        <v>21656</v>
      </c>
      <c r="K18" s="26"/>
      <c r="L18" s="69"/>
      <c r="M18" s="19"/>
      <c r="N18" s="19"/>
      <c r="O18" s="19"/>
      <c r="P18" s="53"/>
      <c r="Q18" s="25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ht="12">
      <c r="A19" s="9"/>
      <c r="B19" s="60"/>
      <c r="C19" s="307">
        <v>2010</v>
      </c>
      <c r="D19" s="74">
        <v>1.017935</v>
      </c>
      <c r="E19" s="5"/>
      <c r="F19" s="5"/>
      <c r="G19" s="5"/>
      <c r="H19" s="18" t="s">
        <v>8</v>
      </c>
      <c r="I19" s="18"/>
      <c r="J19" s="18"/>
      <c r="K19" s="92">
        <f>Y36</f>
        <v>60</v>
      </c>
      <c r="L19" s="18"/>
      <c r="M19" s="18"/>
      <c r="N19" s="18"/>
      <c r="O19" s="18"/>
      <c r="P19" s="47"/>
      <c r="Q19" s="1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12">
      <c r="A20" s="9"/>
      <c r="B20" s="60"/>
      <c r="C20" s="307">
        <f>C19+1</f>
        <v>2011</v>
      </c>
      <c r="D20" s="323">
        <v>1.016165</v>
      </c>
      <c r="E20" s="5"/>
      <c r="F20" s="5"/>
      <c r="G20" s="5"/>
      <c r="H20" s="18" t="s">
        <v>9</v>
      </c>
      <c r="I20" s="18"/>
      <c r="J20" s="18"/>
      <c r="K20" s="59">
        <f>Y37</f>
        <v>2</v>
      </c>
      <c r="L20" s="18"/>
      <c r="M20" s="18"/>
      <c r="N20" s="18"/>
      <c r="O20" s="18"/>
      <c r="P20" s="47"/>
      <c r="Q20" s="18"/>
      <c r="R20" s="28"/>
      <c r="S20" s="99" t="s">
        <v>156</v>
      </c>
      <c r="T20" s="249">
        <v>2010</v>
      </c>
      <c r="U20" s="99" t="s">
        <v>156</v>
      </c>
      <c r="V20" s="249">
        <v>2011</v>
      </c>
      <c r="W20" s="99" t="s">
        <v>156</v>
      </c>
      <c r="X20" s="249">
        <v>2012</v>
      </c>
      <c r="Y20" s="99" t="s">
        <v>156</v>
      </c>
      <c r="Z20" s="249">
        <v>2013</v>
      </c>
      <c r="AA20" s="99" t="s">
        <v>156</v>
      </c>
      <c r="AB20" s="249">
        <v>2014</v>
      </c>
      <c r="AC20" s="99" t="s">
        <v>156</v>
      </c>
      <c r="AD20" s="249">
        <v>2015</v>
      </c>
      <c r="AE20" s="28"/>
    </row>
    <row r="21" spans="1:31" ht="12">
      <c r="A21" s="9"/>
      <c r="B21" s="60"/>
      <c r="C21" s="307">
        <f aca="true" t="shared" si="0" ref="C21:C29">C20+1</f>
        <v>2012</v>
      </c>
      <c r="D21" s="323">
        <v>1.011344</v>
      </c>
      <c r="E21" s="5"/>
      <c r="F21" s="5"/>
      <c r="G21" s="5"/>
      <c r="H21" s="18" t="s">
        <v>7</v>
      </c>
      <c r="I21" s="18"/>
      <c r="J21" s="86">
        <f>T85</f>
        <v>4.6107000000000005</v>
      </c>
      <c r="K21" s="48"/>
      <c r="L21" s="18"/>
      <c r="M21" s="18"/>
      <c r="N21" s="18"/>
      <c r="O21" s="18"/>
      <c r="P21" s="47"/>
      <c r="Q21" s="18"/>
      <c r="R21" s="28"/>
      <c r="S21" s="70" t="s">
        <v>56</v>
      </c>
      <c r="T21" s="64"/>
      <c r="U21" s="70" t="s">
        <v>56</v>
      </c>
      <c r="V21" s="64"/>
      <c r="W21" s="70" t="s">
        <v>56</v>
      </c>
      <c r="X21" s="64"/>
      <c r="Y21" s="70" t="s">
        <v>56</v>
      </c>
      <c r="Z21" s="64"/>
      <c r="AA21" s="70" t="s">
        <v>56</v>
      </c>
      <c r="AB21" s="64"/>
      <c r="AC21" s="70" t="s">
        <v>56</v>
      </c>
      <c r="AD21" s="64"/>
      <c r="AE21" s="28"/>
    </row>
    <row r="22" spans="1:31" ht="12.75">
      <c r="A22" s="9"/>
      <c r="B22" s="60"/>
      <c r="C22" s="307">
        <f t="shared" si="0"/>
        <v>2013</v>
      </c>
      <c r="D22" s="328">
        <v>1.001643</v>
      </c>
      <c r="E22" s="5"/>
      <c r="F22" s="5"/>
      <c r="G22" s="5"/>
      <c r="H22" s="26"/>
      <c r="I22" s="18"/>
      <c r="J22" s="18"/>
      <c r="K22" s="18"/>
      <c r="L22" s="18"/>
      <c r="M22" s="18"/>
      <c r="N22" s="18"/>
      <c r="O22" s="18"/>
      <c r="P22" s="38"/>
      <c r="Q22" s="18"/>
      <c r="R22" s="28"/>
      <c r="S22" s="98" t="s">
        <v>55</v>
      </c>
      <c r="T22" s="66"/>
      <c r="U22" s="98" t="s">
        <v>55</v>
      </c>
      <c r="V22" s="66"/>
      <c r="W22" s="98" t="s">
        <v>55</v>
      </c>
      <c r="X22" s="66"/>
      <c r="Y22" s="98" t="s">
        <v>55</v>
      </c>
      <c r="Z22" s="66"/>
      <c r="AA22" s="98" t="s">
        <v>55</v>
      </c>
      <c r="AB22" s="66"/>
      <c r="AC22" s="98" t="s">
        <v>55</v>
      </c>
      <c r="AD22" s="66"/>
      <c r="AE22" s="28"/>
    </row>
    <row r="23" spans="1:31" ht="12.75">
      <c r="A23" s="9"/>
      <c r="B23" s="60"/>
      <c r="C23" s="307">
        <f t="shared" si="0"/>
        <v>2014</v>
      </c>
      <c r="D23" s="329">
        <v>1</v>
      </c>
      <c r="E23" s="5"/>
      <c r="F23" s="5"/>
      <c r="G23" s="5"/>
      <c r="H23" s="18"/>
      <c r="I23" s="18"/>
      <c r="J23" s="18"/>
      <c r="K23" s="18"/>
      <c r="L23" s="46"/>
      <c r="M23" s="18"/>
      <c r="N23" s="18"/>
      <c r="O23" s="18"/>
      <c r="P23" s="38"/>
      <c r="Q23" s="18"/>
      <c r="R23" s="28"/>
      <c r="S23" s="248">
        <f>T20-1</f>
        <v>2009</v>
      </c>
      <c r="T23" s="77">
        <v>33</v>
      </c>
      <c r="U23" s="248">
        <f>V20-1</f>
        <v>2010</v>
      </c>
      <c r="V23" s="77">
        <v>33</v>
      </c>
      <c r="W23" s="248">
        <f>X20-1</f>
        <v>2011</v>
      </c>
      <c r="X23" s="77">
        <v>33</v>
      </c>
      <c r="Y23" s="248">
        <f>Z20-1</f>
        <v>2012</v>
      </c>
      <c r="Z23" s="77">
        <v>33</v>
      </c>
      <c r="AA23" s="248">
        <f>AB20-1</f>
        <v>2013</v>
      </c>
      <c r="AB23" s="77">
        <v>33</v>
      </c>
      <c r="AC23" s="248">
        <f>AD20-1</f>
        <v>2014</v>
      </c>
      <c r="AD23" s="77">
        <v>33</v>
      </c>
      <c r="AE23" s="28"/>
    </row>
    <row r="24" spans="1:31" ht="12.75">
      <c r="A24" s="9"/>
      <c r="B24" s="60"/>
      <c r="C24" s="307">
        <f t="shared" si="0"/>
        <v>2015</v>
      </c>
      <c r="D24" s="329">
        <v>1.005331</v>
      </c>
      <c r="E24" s="5"/>
      <c r="F24" s="5"/>
      <c r="G24" s="5"/>
      <c r="H24" s="18"/>
      <c r="I24" s="18"/>
      <c r="J24" s="18"/>
      <c r="K24" s="59"/>
      <c r="L24" s="46"/>
      <c r="M24" s="18"/>
      <c r="N24" s="18"/>
      <c r="O24" s="18"/>
      <c r="P24" s="38"/>
      <c r="Q24" s="18"/>
      <c r="R24" s="28"/>
      <c r="S24" s="65">
        <f>S23-1</f>
        <v>2008</v>
      </c>
      <c r="T24" s="77">
        <v>33</v>
      </c>
      <c r="U24" s="65">
        <f>U23-1</f>
        <v>2009</v>
      </c>
      <c r="V24" s="77">
        <v>33</v>
      </c>
      <c r="W24" s="65">
        <f>W23-1</f>
        <v>2010</v>
      </c>
      <c r="X24" s="77">
        <v>33</v>
      </c>
      <c r="Y24" s="65">
        <f>Y23-1</f>
        <v>2011</v>
      </c>
      <c r="Z24" s="77">
        <v>33</v>
      </c>
      <c r="AA24" s="65">
        <f>AA23-1</f>
        <v>2012</v>
      </c>
      <c r="AB24" s="77">
        <v>33</v>
      </c>
      <c r="AC24" s="65">
        <f>AC23-1</f>
        <v>2013</v>
      </c>
      <c r="AD24" s="77">
        <v>33</v>
      </c>
      <c r="AE24" s="28"/>
    </row>
    <row r="25" spans="1:31" ht="12.75">
      <c r="A25" s="9"/>
      <c r="B25" s="60"/>
      <c r="C25" s="307">
        <f t="shared" si="0"/>
        <v>2016</v>
      </c>
      <c r="D25" s="322">
        <v>1</v>
      </c>
      <c r="E25" s="5" t="s">
        <v>278</v>
      </c>
      <c r="F25" s="5"/>
      <c r="G25" s="5"/>
      <c r="H25" s="25" t="s">
        <v>36</v>
      </c>
      <c r="I25" s="18"/>
      <c r="J25" s="18"/>
      <c r="K25" s="18"/>
      <c r="L25" s="54">
        <f>L16*J21/100/13*12</f>
        <v>3145.406200554984</v>
      </c>
      <c r="M25" s="18"/>
      <c r="N25" s="18"/>
      <c r="O25" s="18"/>
      <c r="P25" s="38"/>
      <c r="Q25" s="18"/>
      <c r="R25" s="28"/>
      <c r="S25" s="65">
        <f aca="true" t="shared" si="1" ref="S25:S32">S24-1</f>
        <v>2007</v>
      </c>
      <c r="T25" s="77">
        <v>33</v>
      </c>
      <c r="U25" s="65">
        <f aca="true" t="shared" si="2" ref="U25:U32">U24-1</f>
        <v>2008</v>
      </c>
      <c r="V25" s="77">
        <v>33</v>
      </c>
      <c r="W25" s="65">
        <f aca="true" t="shared" si="3" ref="W25:W32">W24-1</f>
        <v>2009</v>
      </c>
      <c r="X25" s="77">
        <v>33</v>
      </c>
      <c r="Y25" s="65">
        <f aca="true" t="shared" si="4" ref="Y25:Y32">Y24-1</f>
        <v>2010</v>
      </c>
      <c r="Z25" s="77">
        <v>33</v>
      </c>
      <c r="AA25" s="65">
        <f aca="true" t="shared" si="5" ref="AA25:AA32">AA24-1</f>
        <v>2011</v>
      </c>
      <c r="AB25" s="77">
        <v>33</v>
      </c>
      <c r="AC25" s="65">
        <f aca="true" t="shared" si="6" ref="AC25:AC32">AC24-1</f>
        <v>2012</v>
      </c>
      <c r="AD25" s="77">
        <v>33</v>
      </c>
      <c r="AE25" s="28"/>
    </row>
    <row r="26" spans="1:31" ht="12.75">
      <c r="A26" s="9"/>
      <c r="B26" s="60"/>
      <c r="C26" s="307">
        <f t="shared" si="0"/>
        <v>2017</v>
      </c>
      <c r="D26" s="322">
        <f>IF(B26=$F$1,1,D25)</f>
        <v>1</v>
      </c>
      <c r="E26" s="5" t="s">
        <v>280</v>
      </c>
      <c r="F26" s="5"/>
      <c r="G26" s="5"/>
      <c r="H26" s="26" t="s">
        <v>3</v>
      </c>
      <c r="I26" s="19"/>
      <c r="J26" s="19"/>
      <c r="K26" s="19"/>
      <c r="L26" s="200">
        <f>L25/12</f>
        <v>262.117183379582</v>
      </c>
      <c r="M26" s="19"/>
      <c r="N26" s="19"/>
      <c r="O26" s="19"/>
      <c r="P26" s="38"/>
      <c r="Q26" s="18"/>
      <c r="R26" s="28"/>
      <c r="S26" s="65">
        <f t="shared" si="1"/>
        <v>2006</v>
      </c>
      <c r="T26" s="77">
        <v>32.95</v>
      </c>
      <c r="U26" s="65">
        <f t="shared" si="2"/>
        <v>2007</v>
      </c>
      <c r="V26" s="77">
        <v>33</v>
      </c>
      <c r="W26" s="65">
        <f t="shared" si="3"/>
        <v>2008</v>
      </c>
      <c r="X26" s="77">
        <v>33</v>
      </c>
      <c r="Y26" s="65">
        <f t="shared" si="4"/>
        <v>2009</v>
      </c>
      <c r="Z26" s="77">
        <v>33</v>
      </c>
      <c r="AA26" s="65">
        <f t="shared" si="5"/>
        <v>2010</v>
      </c>
      <c r="AB26" s="77">
        <v>33</v>
      </c>
      <c r="AC26" s="65">
        <f t="shared" si="6"/>
        <v>2011</v>
      </c>
      <c r="AD26" s="77">
        <v>33</v>
      </c>
      <c r="AE26" s="28"/>
    </row>
    <row r="27" spans="1:31" ht="12.75">
      <c r="A27" s="9"/>
      <c r="B27" s="60"/>
      <c r="C27" s="307">
        <f t="shared" si="0"/>
        <v>2018</v>
      </c>
      <c r="D27" s="322">
        <f>IF(B27=$F$1,1,D26)</f>
        <v>1</v>
      </c>
      <c r="E27" s="5" t="s">
        <v>281</v>
      </c>
      <c r="F27" s="5"/>
      <c r="G27" s="5"/>
      <c r="H27" s="19"/>
      <c r="I27" s="19"/>
      <c r="J27" s="19"/>
      <c r="K27" s="19"/>
      <c r="L27" s="68"/>
      <c r="M27" s="19"/>
      <c r="N27" s="19"/>
      <c r="O27" s="19"/>
      <c r="P27" s="38"/>
      <c r="Q27" s="18"/>
      <c r="R27" s="28"/>
      <c r="S27" s="65">
        <f t="shared" si="1"/>
        <v>2005</v>
      </c>
      <c r="T27" s="77">
        <v>32.95</v>
      </c>
      <c r="U27" s="65">
        <f t="shared" si="2"/>
        <v>2006</v>
      </c>
      <c r="V27" s="77">
        <v>32.95</v>
      </c>
      <c r="W27" s="65">
        <f t="shared" si="3"/>
        <v>2007</v>
      </c>
      <c r="X27" s="77">
        <v>33</v>
      </c>
      <c r="Y27" s="65">
        <f t="shared" si="4"/>
        <v>2008</v>
      </c>
      <c r="Z27" s="77">
        <v>33</v>
      </c>
      <c r="AA27" s="65">
        <f t="shared" si="5"/>
        <v>2009</v>
      </c>
      <c r="AB27" s="77">
        <v>33</v>
      </c>
      <c r="AC27" s="65">
        <f t="shared" si="6"/>
        <v>2010</v>
      </c>
      <c r="AD27" s="77">
        <v>33</v>
      </c>
      <c r="AE27" s="28"/>
    </row>
    <row r="28" spans="1:31" ht="12.75">
      <c r="A28" s="9"/>
      <c r="B28" s="60"/>
      <c r="C28" s="307">
        <f t="shared" si="0"/>
        <v>2019</v>
      </c>
      <c r="D28" s="322">
        <f>IF(B28=$F$1,1,D27)</f>
        <v>1</v>
      </c>
      <c r="E28" s="5" t="s">
        <v>282</v>
      </c>
      <c r="F28" s="5"/>
      <c r="G28" s="5"/>
      <c r="H28" s="19" t="s">
        <v>64</v>
      </c>
      <c r="I28" s="18"/>
      <c r="J28" s="18"/>
      <c r="K28" s="18"/>
      <c r="L28" s="69">
        <f>Irpef!C7</f>
        <v>0</v>
      </c>
      <c r="M28" s="18"/>
      <c r="N28" s="18"/>
      <c r="O28" s="18"/>
      <c r="P28" s="38"/>
      <c r="Q28" s="18"/>
      <c r="R28" s="28"/>
      <c r="S28" s="65">
        <f t="shared" si="1"/>
        <v>2004</v>
      </c>
      <c r="T28" s="77">
        <v>32.95</v>
      </c>
      <c r="U28" s="65">
        <f t="shared" si="2"/>
        <v>2005</v>
      </c>
      <c r="V28" s="77">
        <v>32.95</v>
      </c>
      <c r="W28" s="65">
        <f t="shared" si="3"/>
        <v>2006</v>
      </c>
      <c r="X28" s="77">
        <v>32.95</v>
      </c>
      <c r="Y28" s="65">
        <f t="shared" si="4"/>
        <v>2007</v>
      </c>
      <c r="Z28" s="77">
        <v>33</v>
      </c>
      <c r="AA28" s="65">
        <f t="shared" si="5"/>
        <v>2008</v>
      </c>
      <c r="AB28" s="77">
        <v>33</v>
      </c>
      <c r="AC28" s="65">
        <f t="shared" si="6"/>
        <v>2009</v>
      </c>
      <c r="AD28" s="77">
        <v>33</v>
      </c>
      <c r="AE28" s="28"/>
    </row>
    <row r="29" spans="1:31" ht="12.75">
      <c r="A29" s="9"/>
      <c r="B29" s="60"/>
      <c r="C29" s="307">
        <f t="shared" si="0"/>
        <v>2020</v>
      </c>
      <c r="D29" s="322">
        <f>IF(B29=$F$1,1,D28)</f>
        <v>1</v>
      </c>
      <c r="E29" s="5" t="s">
        <v>283</v>
      </c>
      <c r="F29" s="319"/>
      <c r="G29" s="5"/>
      <c r="H29" s="19" t="s">
        <v>65</v>
      </c>
      <c r="I29" s="18"/>
      <c r="J29" s="18"/>
      <c r="K29" s="18"/>
      <c r="L29" s="69">
        <f>Irpef!C8</f>
        <v>0</v>
      </c>
      <c r="M29" s="18"/>
      <c r="N29" s="18"/>
      <c r="O29" s="18"/>
      <c r="P29" s="38"/>
      <c r="Q29" s="18"/>
      <c r="R29" s="28"/>
      <c r="S29" s="65">
        <f t="shared" si="1"/>
        <v>2003</v>
      </c>
      <c r="T29" s="77">
        <v>32.95</v>
      </c>
      <c r="U29" s="65">
        <f t="shared" si="2"/>
        <v>2004</v>
      </c>
      <c r="V29" s="77">
        <v>32.95</v>
      </c>
      <c r="W29" s="65">
        <f t="shared" si="3"/>
        <v>2005</v>
      </c>
      <c r="X29" s="77">
        <v>32.95</v>
      </c>
      <c r="Y29" s="65">
        <f t="shared" si="4"/>
        <v>2006</v>
      </c>
      <c r="Z29" s="77">
        <v>32.95</v>
      </c>
      <c r="AA29" s="65">
        <f t="shared" si="5"/>
        <v>2007</v>
      </c>
      <c r="AB29" s="77">
        <v>33</v>
      </c>
      <c r="AC29" s="65">
        <f t="shared" si="6"/>
        <v>2008</v>
      </c>
      <c r="AD29" s="77">
        <v>33</v>
      </c>
      <c r="AE29" s="28"/>
    </row>
    <row r="30" spans="1:31" ht="12.75">
      <c r="A30" s="9"/>
      <c r="B30" s="5"/>
      <c r="C30" s="5"/>
      <c r="D30" s="5"/>
      <c r="E30" s="5"/>
      <c r="F30" s="5"/>
      <c r="G30" s="5"/>
      <c r="H30" s="18" t="s">
        <v>139</v>
      </c>
      <c r="I30" s="18"/>
      <c r="J30" s="18"/>
      <c r="K30" s="18"/>
      <c r="L30" s="69">
        <f>Irpef!C9</f>
        <v>0</v>
      </c>
      <c r="M30" s="18"/>
      <c r="N30" s="18"/>
      <c r="O30" s="18"/>
      <c r="P30" s="38"/>
      <c r="Q30" s="18"/>
      <c r="R30" s="28"/>
      <c r="S30" s="65">
        <f t="shared" si="1"/>
        <v>2002</v>
      </c>
      <c r="T30" s="77">
        <v>32.95</v>
      </c>
      <c r="U30" s="65">
        <f t="shared" si="2"/>
        <v>2003</v>
      </c>
      <c r="V30" s="77">
        <v>32.95</v>
      </c>
      <c r="W30" s="65">
        <f t="shared" si="3"/>
        <v>2004</v>
      </c>
      <c r="X30" s="77">
        <v>32.95</v>
      </c>
      <c r="Y30" s="65">
        <f t="shared" si="4"/>
        <v>2005</v>
      </c>
      <c r="Z30" s="77">
        <v>32.95</v>
      </c>
      <c r="AA30" s="65">
        <f t="shared" si="5"/>
        <v>2006</v>
      </c>
      <c r="AB30" s="77">
        <v>32.95</v>
      </c>
      <c r="AC30" s="65">
        <f t="shared" si="6"/>
        <v>2007</v>
      </c>
      <c r="AD30" s="77">
        <v>33</v>
      </c>
      <c r="AE30" s="28"/>
    </row>
    <row r="31" spans="1:31" ht="12.75">
      <c r="A31" s="73" t="s">
        <v>224</v>
      </c>
      <c r="B31" s="5"/>
      <c r="C31" s="5"/>
      <c r="D31" s="5"/>
      <c r="E31" s="5"/>
      <c r="F31" s="5"/>
      <c r="G31" s="5"/>
      <c r="H31" s="26" t="s">
        <v>269</v>
      </c>
      <c r="I31" s="26"/>
      <c r="J31" s="26"/>
      <c r="K31" s="26"/>
      <c r="L31" s="201">
        <f>IF(P31&gt;0,P31,0)</f>
        <v>0</v>
      </c>
      <c r="M31" s="18"/>
      <c r="N31" s="18"/>
      <c r="O31" s="18"/>
      <c r="P31" s="233">
        <f>L28-L29-L30</f>
        <v>0</v>
      </c>
      <c r="Q31" s="18"/>
      <c r="R31" s="28"/>
      <c r="S31" s="65">
        <f t="shared" si="1"/>
        <v>2001</v>
      </c>
      <c r="T31" s="77">
        <v>32.95</v>
      </c>
      <c r="U31" s="65">
        <f t="shared" si="2"/>
        <v>2002</v>
      </c>
      <c r="V31" s="77">
        <v>32.95</v>
      </c>
      <c r="W31" s="65">
        <f t="shared" si="3"/>
        <v>2003</v>
      </c>
      <c r="X31" s="77">
        <v>32.95</v>
      </c>
      <c r="Y31" s="65">
        <f t="shared" si="4"/>
        <v>2004</v>
      </c>
      <c r="Z31" s="77">
        <v>32.95</v>
      </c>
      <c r="AA31" s="65">
        <f t="shared" si="5"/>
        <v>2005</v>
      </c>
      <c r="AB31" s="77">
        <v>32.95</v>
      </c>
      <c r="AC31" s="65">
        <f t="shared" si="6"/>
        <v>2006</v>
      </c>
      <c r="AD31" s="77">
        <v>32.95</v>
      </c>
      <c r="AE31" s="28"/>
    </row>
    <row r="32" spans="1:31" ht="12.75">
      <c r="A32" s="73" t="s">
        <v>228</v>
      </c>
      <c r="B32" s="5"/>
      <c r="C32" s="5"/>
      <c r="D32" s="5"/>
      <c r="E32" s="5"/>
      <c r="F32" s="5"/>
      <c r="G32" s="5"/>
      <c r="H32" s="25" t="s">
        <v>4</v>
      </c>
      <c r="I32" s="18"/>
      <c r="J32" s="18"/>
      <c r="K32" s="18"/>
      <c r="L32" s="55">
        <f>L26-L31</f>
        <v>262.117183379582</v>
      </c>
      <c r="M32" s="18"/>
      <c r="N32" s="18"/>
      <c r="O32" s="18"/>
      <c r="P32" s="38"/>
      <c r="Q32" s="18"/>
      <c r="R32" s="28"/>
      <c r="S32" s="65">
        <f t="shared" si="1"/>
        <v>2000</v>
      </c>
      <c r="T32" s="77">
        <v>32.95</v>
      </c>
      <c r="U32" s="65">
        <f t="shared" si="2"/>
        <v>2001</v>
      </c>
      <c r="V32" s="77">
        <v>32.95</v>
      </c>
      <c r="W32" s="65">
        <f t="shared" si="3"/>
        <v>2002</v>
      </c>
      <c r="X32" s="77">
        <v>32.95</v>
      </c>
      <c r="Y32" s="65">
        <f t="shared" si="4"/>
        <v>2003</v>
      </c>
      <c r="Z32" s="77">
        <v>32.95</v>
      </c>
      <c r="AA32" s="65">
        <f t="shared" si="5"/>
        <v>2004</v>
      </c>
      <c r="AB32" s="77">
        <v>32.95</v>
      </c>
      <c r="AC32" s="65">
        <f t="shared" si="6"/>
        <v>2005</v>
      </c>
      <c r="AD32" s="77">
        <v>32.95</v>
      </c>
      <c r="AE32" s="28"/>
    </row>
    <row r="33" spans="1:31" ht="12.75">
      <c r="A33" s="73" t="s">
        <v>225</v>
      </c>
      <c r="B33" s="5"/>
      <c r="C33" s="5"/>
      <c r="D33" s="5"/>
      <c r="E33" s="5"/>
      <c r="F33" s="5"/>
      <c r="G33" s="5"/>
      <c r="H33" s="18"/>
      <c r="I33" s="18"/>
      <c r="J33" s="18"/>
      <c r="K33" s="18"/>
      <c r="L33" s="18"/>
      <c r="M33" s="18"/>
      <c r="N33" s="18"/>
      <c r="O33" s="18"/>
      <c r="P33" s="38"/>
      <c r="Q33" s="18"/>
      <c r="R33" s="28"/>
      <c r="S33" s="84" t="s">
        <v>48</v>
      </c>
      <c r="T33" s="119">
        <f>ROUND(SUM(T23:T32)/10,2)</f>
        <v>32.97</v>
      </c>
      <c r="U33" s="84" t="s">
        <v>48</v>
      </c>
      <c r="V33" s="119">
        <f>ROUND(SUM(V23:V32)/10,2)</f>
        <v>32.97</v>
      </c>
      <c r="W33" s="84" t="s">
        <v>48</v>
      </c>
      <c r="X33" s="119">
        <f>ROUND(SUM(X23:X32)/10,2)</f>
        <v>32.98</v>
      </c>
      <c r="Y33" s="84" t="s">
        <v>48</v>
      </c>
      <c r="Z33" s="119">
        <f>ROUND(SUM(Z23:Z32)/10,2)</f>
        <v>32.98</v>
      </c>
      <c r="AA33" s="84" t="s">
        <v>48</v>
      </c>
      <c r="AB33" s="119">
        <f>ROUND(SUM(AB23:AB32)/10,2)</f>
        <v>32.99</v>
      </c>
      <c r="AC33" s="84" t="s">
        <v>48</v>
      </c>
      <c r="AD33" s="119">
        <f>ROUND(SUM(AD23:AD32)/10,2)</f>
        <v>32.99</v>
      </c>
      <c r="AE33" s="28"/>
    </row>
    <row r="34" spans="1:31" ht="12.75">
      <c r="A34" s="73" t="s">
        <v>226</v>
      </c>
      <c r="B34" s="5"/>
      <c r="C34" s="5"/>
      <c r="D34" s="5"/>
      <c r="E34" s="5"/>
      <c r="F34" s="5"/>
      <c r="G34" s="5"/>
      <c r="H34" s="25"/>
      <c r="I34" s="18"/>
      <c r="J34" s="18"/>
      <c r="K34" s="18"/>
      <c r="L34" s="18"/>
      <c r="M34" s="18"/>
      <c r="N34" s="18"/>
      <c r="O34" s="18"/>
      <c r="P34" s="38"/>
      <c r="Q34" s="1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2.75">
      <c r="A35" s="73" t="s">
        <v>227</v>
      </c>
      <c r="B35" s="5"/>
      <c r="C35" s="5"/>
      <c r="D35" s="5"/>
      <c r="E35" s="5"/>
      <c r="F35" s="5"/>
      <c r="G35" s="5"/>
      <c r="H35" s="26"/>
      <c r="I35" s="26"/>
      <c r="J35" s="18"/>
      <c r="K35" s="18"/>
      <c r="L35" s="18"/>
      <c r="M35" s="18"/>
      <c r="N35" s="18"/>
      <c r="O35" s="18"/>
      <c r="P35" s="38"/>
      <c r="Q35" s="18"/>
      <c r="R35" s="28"/>
      <c r="S35" s="67">
        <v>2010</v>
      </c>
      <c r="T35" s="197">
        <f>T33</f>
        <v>32.97</v>
      </c>
      <c r="U35" s="28"/>
      <c r="V35" s="28"/>
      <c r="W35" s="28"/>
      <c r="X35" s="99" t="s">
        <v>266</v>
      </c>
      <c r="Y35" s="107"/>
      <c r="Z35" s="28"/>
      <c r="AA35" s="28"/>
      <c r="AB35" s="28"/>
      <c r="AC35" s="28"/>
      <c r="AD35" s="28"/>
      <c r="AE35" s="28"/>
    </row>
    <row r="36" spans="1:31" ht="12">
      <c r="A36" s="9"/>
      <c r="B36" s="5"/>
      <c r="C36" s="5"/>
      <c r="D36" s="5"/>
      <c r="E36" s="5"/>
      <c r="F36" s="5"/>
      <c r="G36" s="5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8"/>
      <c r="S36" s="67">
        <v>2011</v>
      </c>
      <c r="T36" s="197">
        <f>V33</f>
        <v>32.97</v>
      </c>
      <c r="U36" s="28"/>
      <c r="V36" s="28"/>
      <c r="W36" s="28"/>
      <c r="X36" s="67" t="s">
        <v>51</v>
      </c>
      <c r="Y36" s="67">
        <f>X40</f>
        <v>60</v>
      </c>
      <c r="Z36" s="28"/>
      <c r="AA36" s="28"/>
      <c r="AB36" s="28"/>
      <c r="AC36" s="28"/>
      <c r="AD36" s="28"/>
      <c r="AE36" s="28"/>
    </row>
    <row r="37" spans="1:31" ht="12">
      <c r="A37" s="9"/>
      <c r="B37" s="5"/>
      <c r="C37" s="5"/>
      <c r="D37" s="5"/>
      <c r="E37" s="5"/>
      <c r="F37" s="5"/>
      <c r="G37" s="5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8"/>
      <c r="S37" s="67">
        <v>2012</v>
      </c>
      <c r="T37" s="197">
        <f>X33</f>
        <v>32.98</v>
      </c>
      <c r="U37" s="28"/>
      <c r="V37" s="28"/>
      <c r="W37" s="28"/>
      <c r="X37" s="67" t="s">
        <v>52</v>
      </c>
      <c r="Y37" s="67">
        <f>Y40</f>
        <v>2</v>
      </c>
      <c r="Z37" s="28"/>
      <c r="AA37" s="28"/>
      <c r="AB37" s="28"/>
      <c r="AC37" s="28"/>
      <c r="AD37" s="28"/>
      <c r="AE37" s="28"/>
    </row>
    <row r="38" spans="1:31" ht="12">
      <c r="A38" s="9"/>
      <c r="B38" s="5"/>
      <c r="C38" s="5"/>
      <c r="D38" s="5"/>
      <c r="E38" s="5"/>
      <c r="F38" s="5"/>
      <c r="G38" s="5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8"/>
      <c r="S38" s="67">
        <v>2013</v>
      </c>
      <c r="T38" s="197">
        <f>Z33</f>
        <v>32.98</v>
      </c>
      <c r="U38" s="28"/>
      <c r="V38" s="28"/>
      <c r="W38" s="28"/>
      <c r="X38" s="67" t="s">
        <v>267</v>
      </c>
      <c r="Y38" s="137">
        <f>J18</f>
        <v>21656</v>
      </c>
      <c r="Z38" s="28"/>
      <c r="AA38" s="28"/>
      <c r="AB38" s="28"/>
      <c r="AC38" s="28"/>
      <c r="AD38" s="28"/>
      <c r="AE38" s="28"/>
    </row>
    <row r="39" spans="1:31" ht="12">
      <c r="A39" s="9"/>
      <c r="B39" s="5"/>
      <c r="C39" s="5"/>
      <c r="D39" s="5"/>
      <c r="E39" s="5"/>
      <c r="F39" s="5"/>
      <c r="G39" s="5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8"/>
      <c r="S39" s="67">
        <v>2014</v>
      </c>
      <c r="T39" s="197">
        <f>AB33</f>
        <v>32.99</v>
      </c>
      <c r="U39" s="28"/>
      <c r="V39" s="28"/>
      <c r="W39" s="28"/>
      <c r="X39" s="67">
        <f>INT(Y38/360)</f>
        <v>60</v>
      </c>
      <c r="Y39" s="67">
        <f>ROUND((Y38-X39*360)/30,0)</f>
        <v>2</v>
      </c>
      <c r="Z39" s="28"/>
      <c r="AA39" s="28"/>
      <c r="AB39" s="28"/>
      <c r="AC39" s="28"/>
      <c r="AD39" s="28"/>
      <c r="AE39" s="28"/>
    </row>
    <row r="40" spans="1:31" ht="12">
      <c r="A40" s="9"/>
      <c r="B40" s="5"/>
      <c r="C40" s="5"/>
      <c r="D40" s="5"/>
      <c r="E40" s="5"/>
      <c r="F40" s="5"/>
      <c r="G40" s="5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8"/>
      <c r="S40" s="67">
        <v>2015</v>
      </c>
      <c r="T40" s="197">
        <f>AD33</f>
        <v>32.99</v>
      </c>
      <c r="U40" s="28"/>
      <c r="V40" s="28"/>
      <c r="W40" s="28"/>
      <c r="X40" s="67">
        <f>X39+Y41</f>
        <v>60</v>
      </c>
      <c r="Y40" s="67">
        <f>IF(Y39=12,0,Y39)</f>
        <v>2</v>
      </c>
      <c r="Z40" s="28"/>
      <c r="AA40" s="28"/>
      <c r="AB40" s="28"/>
      <c r="AC40" s="28"/>
      <c r="AD40" s="28"/>
      <c r="AE40" s="28"/>
    </row>
    <row r="41" spans="1:31" ht="12.75">
      <c r="A41" s="37" t="s">
        <v>11</v>
      </c>
      <c r="B41" s="9"/>
      <c r="C41" s="5"/>
      <c r="D41" s="5"/>
      <c r="E41" s="5"/>
      <c r="F41" s="5"/>
      <c r="G41" s="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8"/>
      <c r="S41" s="28"/>
      <c r="T41" s="28"/>
      <c r="U41" s="28"/>
      <c r="V41" s="28"/>
      <c r="W41" s="28"/>
      <c r="X41" s="67"/>
      <c r="Y41" s="67">
        <f>IF(Y39=12,1,0)</f>
        <v>0</v>
      </c>
      <c r="Z41" s="28"/>
      <c r="AA41" s="28"/>
      <c r="AB41" s="28"/>
      <c r="AC41" s="28"/>
      <c r="AD41" s="28"/>
      <c r="AE41" s="28"/>
    </row>
    <row r="42" spans="1:31" ht="12">
      <c r="A42" s="73" t="s">
        <v>12</v>
      </c>
      <c r="B42" s="9"/>
      <c r="C42" s="5"/>
      <c r="D42" s="5"/>
      <c r="E42" s="5"/>
      <c r="F42" s="5"/>
      <c r="G42" s="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8" t="s">
        <v>35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ht="12.75">
      <c r="A43" s="9"/>
      <c r="B43" s="58"/>
      <c r="C43" s="72" t="s">
        <v>15</v>
      </c>
      <c r="D43" s="72" t="s">
        <v>14</v>
      </c>
      <c r="E43" s="5"/>
      <c r="F43" s="5"/>
      <c r="G43" s="5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67"/>
      <c r="S43" s="80" t="s">
        <v>16</v>
      </c>
      <c r="T43" s="80" t="s">
        <v>18</v>
      </c>
      <c r="U43" s="80" t="s">
        <v>16</v>
      </c>
      <c r="V43" s="80" t="s">
        <v>20</v>
      </c>
      <c r="W43" s="80" t="s">
        <v>21</v>
      </c>
      <c r="X43" s="80" t="s">
        <v>16</v>
      </c>
      <c r="Y43" s="80" t="s">
        <v>16</v>
      </c>
      <c r="Z43" s="28"/>
      <c r="AA43" s="28"/>
      <c r="AB43" s="28"/>
      <c r="AC43" s="28"/>
      <c r="AD43" s="28"/>
      <c r="AE43" s="28"/>
    </row>
    <row r="44" spans="1:31" ht="12.75">
      <c r="A44" s="9"/>
      <c r="B44" s="60">
        <v>1993</v>
      </c>
      <c r="C44" s="222">
        <f>Retribuzioni!AG11</f>
        <v>6997.9000000000015</v>
      </c>
      <c r="D44" s="74">
        <v>1.088611</v>
      </c>
      <c r="E44" s="5"/>
      <c r="F44" s="5"/>
      <c r="G44" s="5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84" t="s">
        <v>0</v>
      </c>
      <c r="S44" s="81" t="s">
        <v>17</v>
      </c>
      <c r="T44" s="81"/>
      <c r="U44" s="81" t="s">
        <v>19</v>
      </c>
      <c r="V44" s="81"/>
      <c r="W44" s="81" t="s">
        <v>22</v>
      </c>
      <c r="X44" s="81" t="s">
        <v>25</v>
      </c>
      <c r="Y44" s="81" t="s">
        <v>26</v>
      </c>
      <c r="Z44" s="28"/>
      <c r="AA44" s="28"/>
      <c r="AB44" s="28"/>
      <c r="AC44" s="28"/>
      <c r="AD44" s="28"/>
      <c r="AE44" s="28"/>
    </row>
    <row r="45" spans="1:31" ht="12.75">
      <c r="A45" s="9"/>
      <c r="B45" s="60">
        <f>B44+1</f>
        <v>1994</v>
      </c>
      <c r="C45" s="222">
        <f>Retribuzioni!AG12</f>
        <v>6997.9000000000015</v>
      </c>
      <c r="D45" s="74">
        <v>1.07299</v>
      </c>
      <c r="E45" s="5"/>
      <c r="F45" s="5"/>
      <c r="G45" s="5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84">
        <v>1996</v>
      </c>
      <c r="S45" s="77">
        <f>L14</f>
        <v>8289.916578133332</v>
      </c>
      <c r="T45" s="78">
        <f>D47</f>
        <v>1.062054</v>
      </c>
      <c r="U45" s="77">
        <f>S45*T45</f>
        <v>8804.339061472818</v>
      </c>
      <c r="V45" s="77">
        <f>C47</f>
        <v>6997.9000000000015</v>
      </c>
      <c r="W45" s="77">
        <v>33</v>
      </c>
      <c r="X45" s="77">
        <f aca="true" t="shared" si="7" ref="X45:X58">V45/100*W45</f>
        <v>2309.3070000000002</v>
      </c>
      <c r="Y45" s="77">
        <f aca="true" t="shared" si="8" ref="Y45:Y64">U45+X45</f>
        <v>11113.646061472818</v>
      </c>
      <c r="Z45" s="28"/>
      <c r="AA45" s="28"/>
      <c r="AB45" s="28"/>
      <c r="AC45" s="28"/>
      <c r="AD45" s="28"/>
      <c r="AE45" s="28"/>
    </row>
    <row r="46" spans="1:31" ht="12.75">
      <c r="A46" s="9"/>
      <c r="B46" s="60">
        <f aca="true" t="shared" si="9" ref="B46:B60">B45+1</f>
        <v>1995</v>
      </c>
      <c r="C46" s="222">
        <f>Retribuzioni!AG13</f>
        <v>6997.9000000000015</v>
      </c>
      <c r="D46" s="74">
        <v>1.065726</v>
      </c>
      <c r="E46" s="5"/>
      <c r="F46" s="5"/>
      <c r="G46" s="5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84">
        <f aca="true" t="shared" si="10" ref="R46:R58">R45+1</f>
        <v>1997</v>
      </c>
      <c r="S46" s="77">
        <f aca="true" t="shared" si="11" ref="S46:S58">Y45</f>
        <v>11113.646061472818</v>
      </c>
      <c r="T46" s="78">
        <f aca="true" t="shared" si="12" ref="T46:T64">D48</f>
        <v>1.055871</v>
      </c>
      <c r="U46" s="77">
        <f>S46*T46</f>
        <v>11734.576580573366</v>
      </c>
      <c r="V46" s="77">
        <f aca="true" t="shared" si="13" ref="V46:V58">C48</f>
        <v>6997.9000000000015</v>
      </c>
      <c r="W46" s="77">
        <v>33</v>
      </c>
      <c r="X46" s="77">
        <f t="shared" si="7"/>
        <v>2309.3070000000002</v>
      </c>
      <c r="Y46" s="77">
        <f t="shared" si="8"/>
        <v>14043.883580573367</v>
      </c>
      <c r="Z46" s="28"/>
      <c r="AA46" s="28"/>
      <c r="AB46" s="28"/>
      <c r="AC46" s="28"/>
      <c r="AD46" s="28"/>
      <c r="AE46" s="28"/>
    </row>
    <row r="47" spans="1:31" ht="12.75">
      <c r="A47" s="9"/>
      <c r="B47" s="60">
        <f t="shared" si="9"/>
        <v>1996</v>
      </c>
      <c r="C47" s="222">
        <f>Retribuzioni!AG14</f>
        <v>6997.9000000000015</v>
      </c>
      <c r="D47" s="74">
        <v>1.062054</v>
      </c>
      <c r="E47" s="5"/>
      <c r="F47" s="5"/>
      <c r="G47" s="5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84">
        <f t="shared" si="10"/>
        <v>1998</v>
      </c>
      <c r="S47" s="77">
        <f t="shared" si="11"/>
        <v>14043.883580573367</v>
      </c>
      <c r="T47" s="78">
        <f t="shared" si="12"/>
        <v>1.053597</v>
      </c>
      <c r="U47" s="77">
        <f aca="true" t="shared" si="14" ref="U47:U58">S47*T47</f>
        <v>14796.593608841356</v>
      </c>
      <c r="V47" s="77">
        <f t="shared" si="13"/>
        <v>6997.9000000000015</v>
      </c>
      <c r="W47" s="77">
        <v>33</v>
      </c>
      <c r="X47" s="77">
        <f t="shared" si="7"/>
        <v>2309.3070000000002</v>
      </c>
      <c r="Y47" s="77">
        <f t="shared" si="8"/>
        <v>17105.900608841355</v>
      </c>
      <c r="Z47" s="28"/>
      <c r="AA47" s="28"/>
      <c r="AB47" s="28"/>
      <c r="AC47" s="28"/>
      <c r="AD47" s="28"/>
      <c r="AE47" s="28"/>
    </row>
    <row r="48" spans="1:31" ht="12.75">
      <c r="A48" s="9"/>
      <c r="B48" s="60">
        <f t="shared" si="9"/>
        <v>1997</v>
      </c>
      <c r="C48" s="222">
        <f>Retribuzioni!AG15</f>
        <v>6997.9000000000015</v>
      </c>
      <c r="D48" s="74">
        <v>1.055871</v>
      </c>
      <c r="E48" s="5"/>
      <c r="F48" s="5"/>
      <c r="G48" s="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84">
        <f t="shared" si="10"/>
        <v>1999</v>
      </c>
      <c r="S48" s="77">
        <f t="shared" si="11"/>
        <v>17105.900608841355</v>
      </c>
      <c r="T48" s="78">
        <f t="shared" si="12"/>
        <v>1.056503</v>
      </c>
      <c r="U48" s="77">
        <f t="shared" si="14"/>
        <v>18072.435310942717</v>
      </c>
      <c r="V48" s="77">
        <f t="shared" si="13"/>
        <v>6997.9000000000015</v>
      </c>
      <c r="W48" s="77">
        <v>33</v>
      </c>
      <c r="X48" s="77">
        <f t="shared" si="7"/>
        <v>2309.3070000000002</v>
      </c>
      <c r="Y48" s="77">
        <f t="shared" si="8"/>
        <v>20381.742310942718</v>
      </c>
      <c r="Z48" s="28"/>
      <c r="AA48" s="28"/>
      <c r="AB48" s="28"/>
      <c r="AC48" s="28"/>
      <c r="AD48" s="28"/>
      <c r="AE48" s="28"/>
    </row>
    <row r="49" spans="1:31" ht="12.75">
      <c r="A49" s="9"/>
      <c r="B49" s="60">
        <f t="shared" si="9"/>
        <v>1998</v>
      </c>
      <c r="C49" s="222">
        <f>Retribuzioni!AG16</f>
        <v>6997.9000000000015</v>
      </c>
      <c r="D49" s="74">
        <v>1.053597</v>
      </c>
      <c r="E49" s="5"/>
      <c r="F49" s="5"/>
      <c r="G49" s="5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84">
        <f t="shared" si="10"/>
        <v>2000</v>
      </c>
      <c r="S49" s="77">
        <f t="shared" si="11"/>
        <v>20381.742310942718</v>
      </c>
      <c r="T49" s="78">
        <f t="shared" si="12"/>
        <v>1.051781</v>
      </c>
      <c r="U49" s="77">
        <f t="shared" si="14"/>
        <v>21437.129309545646</v>
      </c>
      <c r="V49" s="77">
        <f t="shared" si="13"/>
        <v>6997.9000000000015</v>
      </c>
      <c r="W49" s="77">
        <v>33</v>
      </c>
      <c r="X49" s="77">
        <f t="shared" si="7"/>
        <v>2309.3070000000002</v>
      </c>
      <c r="Y49" s="77">
        <f t="shared" si="8"/>
        <v>23746.436309545647</v>
      </c>
      <c r="Z49" s="28"/>
      <c r="AA49" s="28"/>
      <c r="AB49" s="28"/>
      <c r="AC49" s="28"/>
      <c r="AD49" s="28"/>
      <c r="AE49" s="28"/>
    </row>
    <row r="50" spans="1:31" ht="12.75">
      <c r="A50" s="9"/>
      <c r="B50" s="60">
        <f t="shared" si="9"/>
        <v>1999</v>
      </c>
      <c r="C50" s="222">
        <f>Retribuzioni!AG17</f>
        <v>6997.9000000000015</v>
      </c>
      <c r="D50" s="75">
        <v>1.056503</v>
      </c>
      <c r="E50" s="5"/>
      <c r="F50" s="5"/>
      <c r="G50" s="5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84">
        <f t="shared" si="10"/>
        <v>2001</v>
      </c>
      <c r="S50" s="77">
        <f t="shared" si="11"/>
        <v>23746.436309545647</v>
      </c>
      <c r="T50" s="78">
        <f t="shared" si="12"/>
        <v>1.047781</v>
      </c>
      <c r="U50" s="77">
        <f t="shared" si="14"/>
        <v>24881.06478285205</v>
      </c>
      <c r="V50" s="77">
        <f t="shared" si="13"/>
        <v>6997.9000000000015</v>
      </c>
      <c r="W50" s="77">
        <v>33</v>
      </c>
      <c r="X50" s="77">
        <f t="shared" si="7"/>
        <v>2309.3070000000002</v>
      </c>
      <c r="Y50" s="77">
        <f t="shared" si="8"/>
        <v>27190.37178285205</v>
      </c>
      <c r="Z50" s="28"/>
      <c r="AA50" s="28"/>
      <c r="AB50" s="28"/>
      <c r="AC50" s="28"/>
      <c r="AD50" s="28"/>
      <c r="AE50" s="28"/>
    </row>
    <row r="51" spans="1:31" ht="12.75">
      <c r="A51" s="9"/>
      <c r="B51" s="60">
        <f t="shared" si="9"/>
        <v>2000</v>
      </c>
      <c r="C51" s="222">
        <f>Retribuzioni!AG18</f>
        <v>6997.9000000000015</v>
      </c>
      <c r="D51" s="75">
        <v>1.051781</v>
      </c>
      <c r="E51" s="5"/>
      <c r="F51" s="5"/>
      <c r="G51" s="5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84">
        <f t="shared" si="10"/>
        <v>2002</v>
      </c>
      <c r="S51" s="77">
        <f t="shared" si="11"/>
        <v>27190.37178285205</v>
      </c>
      <c r="T51" s="78">
        <f t="shared" si="12"/>
        <v>1.043698</v>
      </c>
      <c r="U51" s="77">
        <f t="shared" si="14"/>
        <v>28378.53664901912</v>
      </c>
      <c r="V51" s="77">
        <f t="shared" si="13"/>
        <v>6997.9000000000015</v>
      </c>
      <c r="W51" s="77">
        <v>33</v>
      </c>
      <c r="X51" s="77">
        <f t="shared" si="7"/>
        <v>2309.3070000000002</v>
      </c>
      <c r="Y51" s="77">
        <f t="shared" si="8"/>
        <v>30687.84364901912</v>
      </c>
      <c r="Z51" s="28"/>
      <c r="AA51" s="28"/>
      <c r="AB51" s="28"/>
      <c r="AC51" s="28"/>
      <c r="AD51" s="28"/>
      <c r="AE51" s="28"/>
    </row>
    <row r="52" spans="1:31" ht="12.75">
      <c r="A52" s="9"/>
      <c r="B52" s="60">
        <f t="shared" si="9"/>
        <v>2001</v>
      </c>
      <c r="C52" s="222">
        <f>Retribuzioni!AG19</f>
        <v>6997.9000000000015</v>
      </c>
      <c r="D52" s="75">
        <v>1.047781</v>
      </c>
      <c r="E52" s="5"/>
      <c r="F52" s="5"/>
      <c r="G52" s="5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84">
        <f t="shared" si="10"/>
        <v>2003</v>
      </c>
      <c r="S52" s="77">
        <f t="shared" si="11"/>
        <v>30687.84364901912</v>
      </c>
      <c r="T52" s="78">
        <f t="shared" si="12"/>
        <v>1.041614</v>
      </c>
      <c r="U52" s="77">
        <f t="shared" si="14"/>
        <v>31964.887574629403</v>
      </c>
      <c r="V52" s="77">
        <f t="shared" si="13"/>
        <v>6997.9000000000015</v>
      </c>
      <c r="W52" s="77">
        <v>33</v>
      </c>
      <c r="X52" s="77">
        <f t="shared" si="7"/>
        <v>2309.3070000000002</v>
      </c>
      <c r="Y52" s="77">
        <f t="shared" si="8"/>
        <v>34274.1945746294</v>
      </c>
      <c r="Z52" s="28"/>
      <c r="AA52" s="28"/>
      <c r="AB52" s="28"/>
      <c r="AC52" s="28"/>
      <c r="AD52" s="28"/>
      <c r="AE52" s="28"/>
    </row>
    <row r="53" spans="1:31" ht="12.75">
      <c r="A53" s="9"/>
      <c r="B53" s="60">
        <f t="shared" si="9"/>
        <v>2002</v>
      </c>
      <c r="C53" s="222">
        <f>Retribuzioni!AG20</f>
        <v>6997.9000000000015</v>
      </c>
      <c r="D53" s="75">
        <v>1.043698</v>
      </c>
      <c r="E53" s="5"/>
      <c r="F53" s="5"/>
      <c r="G53" s="5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84">
        <f t="shared" si="10"/>
        <v>2004</v>
      </c>
      <c r="S53" s="77">
        <f t="shared" si="11"/>
        <v>34274.1945746294</v>
      </c>
      <c r="T53" s="78">
        <f t="shared" si="12"/>
        <v>1.039272</v>
      </c>
      <c r="U53" s="77">
        <f t="shared" si="14"/>
        <v>35620.21074396424</v>
      </c>
      <c r="V53" s="77">
        <f t="shared" si="13"/>
        <v>6997.9000000000015</v>
      </c>
      <c r="W53" s="77">
        <v>33</v>
      </c>
      <c r="X53" s="77">
        <f t="shared" si="7"/>
        <v>2309.3070000000002</v>
      </c>
      <c r="Y53" s="77">
        <f t="shared" si="8"/>
        <v>37929.51774396424</v>
      </c>
      <c r="Z53" s="28"/>
      <c r="AA53" s="28"/>
      <c r="AB53" s="28"/>
      <c r="AC53" s="28"/>
      <c r="AD53" s="28"/>
      <c r="AE53" s="28"/>
    </row>
    <row r="54" spans="1:31" ht="12.75">
      <c r="A54" s="9"/>
      <c r="B54" s="60">
        <f t="shared" si="9"/>
        <v>2003</v>
      </c>
      <c r="C54" s="222">
        <f>Retribuzioni!AG21</f>
        <v>6997.9000000000015</v>
      </c>
      <c r="D54" s="75">
        <v>1.041614</v>
      </c>
      <c r="E54" s="5"/>
      <c r="F54" s="5"/>
      <c r="G54" s="5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84">
        <f t="shared" si="10"/>
        <v>2005</v>
      </c>
      <c r="S54" s="77">
        <f t="shared" si="11"/>
        <v>37929.51774396424</v>
      </c>
      <c r="T54" s="78">
        <f t="shared" si="12"/>
        <v>1.040506</v>
      </c>
      <c r="U54" s="77">
        <f t="shared" si="14"/>
        <v>39465.890789701254</v>
      </c>
      <c r="V54" s="77">
        <f t="shared" si="13"/>
        <v>6997.9000000000015</v>
      </c>
      <c r="W54" s="77">
        <v>33</v>
      </c>
      <c r="X54" s="77">
        <f t="shared" si="7"/>
        <v>2309.3070000000002</v>
      </c>
      <c r="Y54" s="77">
        <f t="shared" si="8"/>
        <v>41775.197789701255</v>
      </c>
      <c r="Z54" s="28"/>
      <c r="AA54" s="28"/>
      <c r="AB54" s="28"/>
      <c r="AC54" s="28"/>
      <c r="AD54" s="28"/>
      <c r="AE54" s="28"/>
    </row>
    <row r="55" spans="1:31" ht="12.75">
      <c r="A55" s="9"/>
      <c r="B55" s="60">
        <f t="shared" si="9"/>
        <v>2004</v>
      </c>
      <c r="C55" s="222">
        <f>Retribuzioni!AG22</f>
        <v>6997.9000000000015</v>
      </c>
      <c r="D55" s="74">
        <v>1.039272</v>
      </c>
      <c r="E55" s="5"/>
      <c r="F55" s="5"/>
      <c r="G55" s="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84">
        <f t="shared" si="10"/>
        <v>2006</v>
      </c>
      <c r="S55" s="77">
        <f t="shared" si="11"/>
        <v>41775.197789701255</v>
      </c>
      <c r="T55" s="78">
        <f t="shared" si="12"/>
        <v>1.035386</v>
      </c>
      <c r="U55" s="77">
        <f t="shared" si="14"/>
        <v>43253.45493868762</v>
      </c>
      <c r="V55" s="77">
        <f t="shared" si="13"/>
        <v>6997.9000000000015</v>
      </c>
      <c r="W55" s="77">
        <v>33</v>
      </c>
      <c r="X55" s="77">
        <f t="shared" si="7"/>
        <v>2309.3070000000002</v>
      </c>
      <c r="Y55" s="77">
        <f t="shared" si="8"/>
        <v>45562.76193868762</v>
      </c>
      <c r="Z55" s="28"/>
      <c r="AA55" s="28"/>
      <c r="AB55" s="28"/>
      <c r="AC55" s="28"/>
      <c r="AD55" s="28"/>
      <c r="AE55" s="28"/>
    </row>
    <row r="56" spans="1:31" ht="12.75">
      <c r="A56" s="9"/>
      <c r="B56" s="60">
        <f t="shared" si="9"/>
        <v>2005</v>
      </c>
      <c r="C56" s="222">
        <f>Retribuzioni!AG23</f>
        <v>6997.9000000000015</v>
      </c>
      <c r="D56" s="74">
        <v>1.040506</v>
      </c>
      <c r="E56" s="5"/>
      <c r="F56" s="5"/>
      <c r="G56" s="5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84">
        <f t="shared" si="10"/>
        <v>2007</v>
      </c>
      <c r="S56" s="77">
        <f t="shared" si="11"/>
        <v>45562.76193868762</v>
      </c>
      <c r="T56" s="78">
        <f t="shared" si="12"/>
        <v>1.033937</v>
      </c>
      <c r="U56" s="77">
        <f t="shared" si="14"/>
        <v>47109.025390600866</v>
      </c>
      <c r="V56" s="77">
        <f t="shared" si="13"/>
        <v>6997.9000000000015</v>
      </c>
      <c r="W56" s="77">
        <v>33</v>
      </c>
      <c r="X56" s="77">
        <f t="shared" si="7"/>
        <v>2309.3070000000002</v>
      </c>
      <c r="Y56" s="77">
        <f t="shared" si="8"/>
        <v>49418.332390600866</v>
      </c>
      <c r="Z56" s="28"/>
      <c r="AA56" s="28"/>
      <c r="AB56" s="28"/>
      <c r="AC56" s="28"/>
      <c r="AD56" s="28"/>
      <c r="AE56" s="28"/>
    </row>
    <row r="57" spans="1:31" ht="12.75">
      <c r="A57" s="9"/>
      <c r="B57" s="60">
        <f t="shared" si="9"/>
        <v>2006</v>
      </c>
      <c r="C57" s="222">
        <f>Retribuzioni!AG24</f>
        <v>6997.9000000000015</v>
      </c>
      <c r="D57" s="74">
        <v>1.035386</v>
      </c>
      <c r="E57" s="89"/>
      <c r="F57" s="5"/>
      <c r="G57" s="5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84">
        <f t="shared" si="10"/>
        <v>2008</v>
      </c>
      <c r="S57" s="77">
        <f t="shared" si="11"/>
        <v>49418.332390600866</v>
      </c>
      <c r="T57" s="78">
        <f t="shared" si="12"/>
        <v>1.034625</v>
      </c>
      <c r="U57" s="77">
        <f t="shared" si="14"/>
        <v>51129.442149625414</v>
      </c>
      <c r="V57" s="77">
        <f t="shared" si="13"/>
        <v>6997.9000000000015</v>
      </c>
      <c r="W57" s="77">
        <v>33</v>
      </c>
      <c r="X57" s="77">
        <f t="shared" si="7"/>
        <v>2309.3070000000002</v>
      </c>
      <c r="Y57" s="77">
        <f t="shared" si="8"/>
        <v>53438.749149625415</v>
      </c>
      <c r="Z57" s="28"/>
      <c r="AA57" s="28"/>
      <c r="AB57" s="28"/>
      <c r="AC57" s="28"/>
      <c r="AD57" s="28"/>
      <c r="AE57" s="28"/>
    </row>
    <row r="58" spans="1:31" ht="12.75">
      <c r="A58" s="9"/>
      <c r="B58" s="60">
        <f t="shared" si="9"/>
        <v>2007</v>
      </c>
      <c r="C58" s="222">
        <f>Retribuzioni!AG25</f>
        <v>6997.9000000000015</v>
      </c>
      <c r="D58" s="74">
        <v>1.033937</v>
      </c>
      <c r="E58" s="5"/>
      <c r="F58" s="5"/>
      <c r="G58" s="5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84">
        <f t="shared" si="10"/>
        <v>2009</v>
      </c>
      <c r="S58" s="77">
        <f t="shared" si="11"/>
        <v>53438.749149625415</v>
      </c>
      <c r="T58" s="78">
        <f t="shared" si="12"/>
        <v>1.033201</v>
      </c>
      <c r="U58" s="77">
        <f t="shared" si="14"/>
        <v>55212.96906014213</v>
      </c>
      <c r="V58" s="77">
        <f t="shared" si="13"/>
        <v>6997.9000000000015</v>
      </c>
      <c r="W58" s="77">
        <v>33</v>
      </c>
      <c r="X58" s="77">
        <f t="shared" si="7"/>
        <v>2309.3070000000002</v>
      </c>
      <c r="Y58" s="187">
        <f t="shared" si="8"/>
        <v>57522.27606014213</v>
      </c>
      <c r="Z58" s="28"/>
      <c r="AA58" s="28"/>
      <c r="AB58" s="28"/>
      <c r="AC58" s="28"/>
      <c r="AD58" s="28"/>
      <c r="AE58" s="28"/>
    </row>
    <row r="59" spans="1:31" ht="12.75">
      <c r="A59" s="9"/>
      <c r="B59" s="60">
        <f t="shared" si="9"/>
        <v>2008</v>
      </c>
      <c r="C59" s="222">
        <f>Retribuzioni!AG26</f>
        <v>6997.9000000000015</v>
      </c>
      <c r="D59" s="74">
        <v>1.034625</v>
      </c>
      <c r="E59" s="5"/>
      <c r="F59" s="5"/>
      <c r="G59" s="5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84">
        <f aca="true" t="shared" si="15" ref="R59:R69">R58+1</f>
        <v>2010</v>
      </c>
      <c r="S59" s="77">
        <f aca="true" t="shared" si="16" ref="S59:S64">Y58</f>
        <v>57522.27606014213</v>
      </c>
      <c r="T59" s="78">
        <f t="shared" si="12"/>
        <v>1.017935</v>
      </c>
      <c r="U59" s="77">
        <f aca="true" t="shared" si="17" ref="U59:U64">S59*T59</f>
        <v>58553.93808128079</v>
      </c>
      <c r="V59" s="77">
        <f aca="true" t="shared" si="18" ref="V59:V64">C61</f>
        <v>6997.9000000000015</v>
      </c>
      <c r="W59" s="77">
        <v>33</v>
      </c>
      <c r="X59" s="77">
        <f aca="true" t="shared" si="19" ref="X59:X64">V59/100*W59</f>
        <v>2309.3070000000002</v>
      </c>
      <c r="Y59" s="187">
        <f t="shared" si="8"/>
        <v>60863.24508128079</v>
      </c>
      <c r="Z59" s="28"/>
      <c r="AA59" s="28"/>
      <c r="AB59" s="28"/>
      <c r="AC59" s="28"/>
      <c r="AD59" s="28"/>
      <c r="AE59" s="28"/>
    </row>
    <row r="60" spans="1:31" ht="12.75">
      <c r="A60" s="9"/>
      <c r="B60" s="60">
        <f t="shared" si="9"/>
        <v>2009</v>
      </c>
      <c r="C60" s="222">
        <f>Retribuzioni!AG27</f>
        <v>6997.9000000000015</v>
      </c>
      <c r="D60" s="74">
        <v>1.033201</v>
      </c>
      <c r="E60" s="5"/>
      <c r="F60" s="5"/>
      <c r="G60" s="5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84">
        <f t="shared" si="15"/>
        <v>2011</v>
      </c>
      <c r="S60" s="77">
        <f t="shared" si="16"/>
        <v>60863.24508128079</v>
      </c>
      <c r="T60" s="78">
        <f t="shared" si="12"/>
        <v>1.016165</v>
      </c>
      <c r="U60" s="77">
        <f t="shared" si="17"/>
        <v>61847.09943801969</v>
      </c>
      <c r="V60" s="77">
        <f t="shared" si="18"/>
        <v>6997.9000000000015</v>
      </c>
      <c r="W60" s="77">
        <v>33</v>
      </c>
      <c r="X60" s="77">
        <f t="shared" si="19"/>
        <v>2309.3070000000002</v>
      </c>
      <c r="Y60" s="187">
        <f t="shared" si="8"/>
        <v>64156.406438019694</v>
      </c>
      <c r="Z60" s="28"/>
      <c r="AA60" s="28"/>
      <c r="AB60" s="28"/>
      <c r="AC60" s="28"/>
      <c r="AD60" s="28"/>
      <c r="AE60" s="28"/>
    </row>
    <row r="61" spans="1:31" ht="12.75">
      <c r="A61" s="9"/>
      <c r="B61" s="60">
        <f aca="true" t="shared" si="20" ref="B61:B66">B60+1</f>
        <v>2010</v>
      </c>
      <c r="C61" s="222">
        <f>Retribuzioni!AG28</f>
        <v>6997.9000000000015</v>
      </c>
      <c r="D61" s="74">
        <v>1.017935</v>
      </c>
      <c r="E61" s="5"/>
      <c r="F61" s="5"/>
      <c r="G61" s="5"/>
      <c r="H61" s="28"/>
      <c r="I61" s="28"/>
      <c r="J61" s="49"/>
      <c r="K61" s="28"/>
      <c r="L61" s="29"/>
      <c r="M61" s="28"/>
      <c r="N61" s="28"/>
      <c r="O61" s="28"/>
      <c r="P61" s="28"/>
      <c r="Q61" s="28"/>
      <c r="R61" s="84">
        <f t="shared" si="15"/>
        <v>2012</v>
      </c>
      <c r="S61" s="77">
        <f t="shared" si="16"/>
        <v>64156.406438019694</v>
      </c>
      <c r="T61" s="78">
        <f t="shared" si="12"/>
        <v>1.011344</v>
      </c>
      <c r="U61" s="77">
        <f t="shared" si="17"/>
        <v>64884.19671265259</v>
      </c>
      <c r="V61" s="77">
        <f t="shared" si="18"/>
        <v>6997.9000000000015</v>
      </c>
      <c r="W61" s="77">
        <v>33</v>
      </c>
      <c r="X61" s="77">
        <f t="shared" si="19"/>
        <v>2309.3070000000002</v>
      </c>
      <c r="Y61" s="187">
        <f t="shared" si="8"/>
        <v>67193.50371265259</v>
      </c>
      <c r="Z61" s="28"/>
      <c r="AA61" s="28"/>
      <c r="AB61" s="28"/>
      <c r="AC61" s="28"/>
      <c r="AD61" s="28"/>
      <c r="AE61" s="28"/>
    </row>
    <row r="62" spans="1:31" ht="12.75">
      <c r="A62" s="9"/>
      <c r="B62" s="60">
        <f t="shared" si="20"/>
        <v>2011</v>
      </c>
      <c r="C62" s="222">
        <f>Retribuzioni!AG29</f>
        <v>6997.9000000000015</v>
      </c>
      <c r="D62" s="75">
        <f>IF(B62=$F$1,1,D20)</f>
        <v>1.016165</v>
      </c>
      <c r="E62" s="37"/>
      <c r="F62" s="5"/>
      <c r="G62" s="5"/>
      <c r="H62" s="28"/>
      <c r="I62" s="28"/>
      <c r="J62" s="49"/>
      <c r="K62" s="28"/>
      <c r="L62" s="29"/>
      <c r="M62" s="28"/>
      <c r="N62" s="28"/>
      <c r="O62" s="28"/>
      <c r="P62" s="28"/>
      <c r="Q62" s="28"/>
      <c r="R62" s="84">
        <f t="shared" si="15"/>
        <v>2013</v>
      </c>
      <c r="S62" s="77">
        <f t="shared" si="16"/>
        <v>67193.50371265259</v>
      </c>
      <c r="T62" s="78">
        <f t="shared" si="12"/>
        <v>1.001643</v>
      </c>
      <c r="U62" s="77">
        <f t="shared" si="17"/>
        <v>67303.90263925248</v>
      </c>
      <c r="V62" s="77">
        <f t="shared" si="18"/>
        <v>6997.9000000000015</v>
      </c>
      <c r="W62" s="77">
        <v>33</v>
      </c>
      <c r="X62" s="77">
        <f t="shared" si="19"/>
        <v>2309.3070000000002</v>
      </c>
      <c r="Y62" s="187">
        <f t="shared" si="8"/>
        <v>69613.20963925248</v>
      </c>
      <c r="Z62" s="28"/>
      <c r="AA62" s="28"/>
      <c r="AB62" s="28"/>
      <c r="AC62" s="28"/>
      <c r="AD62" s="28"/>
      <c r="AE62" s="28"/>
    </row>
    <row r="63" spans="1:31" ht="12.75">
      <c r="A63" s="9"/>
      <c r="B63" s="60">
        <f t="shared" si="20"/>
        <v>2012</v>
      </c>
      <c r="C63" s="222">
        <f>Retribuzioni!AG30</f>
        <v>6997.9000000000015</v>
      </c>
      <c r="D63" s="75">
        <f aca="true" t="shared" si="21" ref="D63:D71">IF(B63=$F$1,1,D21)</f>
        <v>1.011344</v>
      </c>
      <c r="E63" s="9"/>
      <c r="F63" s="5"/>
      <c r="G63" s="5"/>
      <c r="H63" s="28"/>
      <c r="I63" s="28"/>
      <c r="J63" s="49"/>
      <c r="K63" s="28"/>
      <c r="L63" s="49"/>
      <c r="M63" s="28"/>
      <c r="N63" s="28"/>
      <c r="O63" s="28"/>
      <c r="P63" s="28"/>
      <c r="Q63" s="28"/>
      <c r="R63" s="84">
        <f t="shared" si="15"/>
        <v>2014</v>
      </c>
      <c r="S63" s="77">
        <f t="shared" si="16"/>
        <v>69613.20963925248</v>
      </c>
      <c r="T63" s="78">
        <f t="shared" si="12"/>
        <v>1</v>
      </c>
      <c r="U63" s="77">
        <f t="shared" si="17"/>
        <v>69613.20963925248</v>
      </c>
      <c r="V63" s="77">
        <f t="shared" si="18"/>
        <v>6997.9000000000015</v>
      </c>
      <c r="W63" s="77">
        <v>33</v>
      </c>
      <c r="X63" s="77">
        <f t="shared" si="19"/>
        <v>2309.3070000000002</v>
      </c>
      <c r="Y63" s="187">
        <f t="shared" si="8"/>
        <v>71922.51663925248</v>
      </c>
      <c r="Z63" s="28"/>
      <c r="AA63" s="28"/>
      <c r="AB63" s="28"/>
      <c r="AC63" s="28"/>
      <c r="AD63" s="28"/>
      <c r="AE63" s="28"/>
    </row>
    <row r="64" spans="1:31" ht="12.75">
      <c r="A64" s="9"/>
      <c r="B64" s="60">
        <f t="shared" si="20"/>
        <v>2013</v>
      </c>
      <c r="C64" s="222">
        <f>Retribuzioni!AG31</f>
        <v>6997.9000000000015</v>
      </c>
      <c r="D64" s="75">
        <f t="shared" si="21"/>
        <v>1.001643</v>
      </c>
      <c r="E64" s="9"/>
      <c r="F64" s="5"/>
      <c r="G64" s="5"/>
      <c r="H64" s="28"/>
      <c r="I64" s="28"/>
      <c r="J64" s="49"/>
      <c r="K64" s="28"/>
      <c r="L64" s="49"/>
      <c r="M64" s="28"/>
      <c r="N64" s="28"/>
      <c r="O64" s="28"/>
      <c r="P64" s="28"/>
      <c r="Q64" s="28"/>
      <c r="R64" s="84">
        <f t="shared" si="15"/>
        <v>2015</v>
      </c>
      <c r="S64" s="77">
        <f t="shared" si="16"/>
        <v>71922.51663925248</v>
      </c>
      <c r="T64" s="78">
        <f t="shared" si="12"/>
        <v>1.005331</v>
      </c>
      <c r="U64" s="77">
        <f t="shared" si="17"/>
        <v>72305.93557545634</v>
      </c>
      <c r="V64" s="77">
        <f t="shared" si="18"/>
        <v>4844.700000000001</v>
      </c>
      <c r="W64" s="77">
        <v>33</v>
      </c>
      <c r="X64" s="77">
        <f t="shared" si="19"/>
        <v>1598.7510000000004</v>
      </c>
      <c r="Y64" s="187">
        <f t="shared" si="8"/>
        <v>73904.68657545635</v>
      </c>
      <c r="Z64" s="28"/>
      <c r="AA64" s="28"/>
      <c r="AB64" s="28"/>
      <c r="AC64" s="28"/>
      <c r="AD64" s="28"/>
      <c r="AE64" s="28"/>
    </row>
    <row r="65" spans="1:31" ht="12.75">
      <c r="A65" s="9"/>
      <c r="B65" s="60">
        <f t="shared" si="20"/>
        <v>2014</v>
      </c>
      <c r="C65" s="222">
        <f>Retribuzioni!AG32</f>
        <v>6997.9000000000015</v>
      </c>
      <c r="D65" s="75">
        <f t="shared" si="21"/>
        <v>1</v>
      </c>
      <c r="E65" s="9"/>
      <c r="F65" s="5"/>
      <c r="G65" s="5"/>
      <c r="H65" s="28"/>
      <c r="I65" s="28"/>
      <c r="J65" s="49"/>
      <c r="K65" s="28"/>
      <c r="L65" s="49"/>
      <c r="M65" s="28"/>
      <c r="N65" s="28"/>
      <c r="O65" s="28"/>
      <c r="P65" s="28"/>
      <c r="Q65" s="28"/>
      <c r="R65" s="84">
        <f t="shared" si="15"/>
        <v>2016</v>
      </c>
      <c r="S65" s="77">
        <f>Y64</f>
        <v>73904.68657545635</v>
      </c>
      <c r="T65" s="78">
        <f>D67</f>
        <v>1</v>
      </c>
      <c r="U65" s="77">
        <f>S65*T65</f>
        <v>73904.68657545635</v>
      </c>
      <c r="V65" s="77">
        <f>C67</f>
        <v>0</v>
      </c>
      <c r="W65" s="77">
        <v>33</v>
      </c>
      <c r="X65" s="77">
        <f>V65/100*W65</f>
        <v>0</v>
      </c>
      <c r="Y65" s="187">
        <f>U65+X65</f>
        <v>73904.68657545635</v>
      </c>
      <c r="Z65" s="28"/>
      <c r="AA65" s="28"/>
      <c r="AB65" s="28"/>
      <c r="AC65" s="28"/>
      <c r="AD65" s="28"/>
      <c r="AE65" s="28"/>
    </row>
    <row r="66" spans="1:31" ht="12.75">
      <c r="A66" s="9"/>
      <c r="B66" s="60">
        <f t="shared" si="20"/>
        <v>2015</v>
      </c>
      <c r="C66" s="222">
        <f>Retribuzioni!AG33</f>
        <v>4844.700000000001</v>
      </c>
      <c r="D66" s="75">
        <f t="shared" si="21"/>
        <v>1.005331</v>
      </c>
      <c r="E66" s="9"/>
      <c r="F66" s="5"/>
      <c r="G66" s="5"/>
      <c r="H66" s="28"/>
      <c r="I66" s="28"/>
      <c r="J66" s="49"/>
      <c r="K66" s="61"/>
      <c r="L66" s="28"/>
      <c r="M66" s="28"/>
      <c r="N66" s="28"/>
      <c r="O66" s="28"/>
      <c r="P66" s="28"/>
      <c r="Q66" s="28"/>
      <c r="R66" s="84">
        <f t="shared" si="15"/>
        <v>2017</v>
      </c>
      <c r="S66" s="77">
        <f>Y65</f>
        <v>73904.68657545635</v>
      </c>
      <c r="T66" s="78">
        <f>D68</f>
        <v>1</v>
      </c>
      <c r="U66" s="77">
        <f>S66*T66</f>
        <v>73904.68657545635</v>
      </c>
      <c r="V66" s="77">
        <f>C68</f>
        <v>0</v>
      </c>
      <c r="W66" s="77">
        <v>33</v>
      </c>
      <c r="X66" s="77">
        <f>V66/100*W66</f>
        <v>0</v>
      </c>
      <c r="Y66" s="187">
        <f>U66+X66</f>
        <v>73904.68657545635</v>
      </c>
      <c r="Z66" s="28"/>
      <c r="AA66" s="28"/>
      <c r="AB66" s="28"/>
      <c r="AC66" s="28"/>
      <c r="AD66" s="28"/>
      <c r="AE66" s="28"/>
    </row>
    <row r="67" spans="1:31" ht="12.75">
      <c r="A67" s="9"/>
      <c r="B67" s="60">
        <f>B66+1</f>
        <v>2016</v>
      </c>
      <c r="C67" s="222">
        <f>Retribuzioni!AG34</f>
        <v>0</v>
      </c>
      <c r="D67" s="75">
        <f t="shared" si="21"/>
        <v>1</v>
      </c>
      <c r="E67" s="9"/>
      <c r="F67" s="5"/>
      <c r="G67" s="5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84">
        <f t="shared" si="15"/>
        <v>2018</v>
      </c>
      <c r="S67" s="77">
        <f>Y66</f>
        <v>73904.68657545635</v>
      </c>
      <c r="T67" s="78">
        <f>D69</f>
        <v>1</v>
      </c>
      <c r="U67" s="77">
        <f>S67*T67</f>
        <v>73904.68657545635</v>
      </c>
      <c r="V67" s="77">
        <f>C69</f>
        <v>0</v>
      </c>
      <c r="W67" s="77">
        <v>33</v>
      </c>
      <c r="X67" s="77">
        <f>V67/100*W67</f>
        <v>0</v>
      </c>
      <c r="Y67" s="187">
        <f>U67+X67</f>
        <v>73904.68657545635</v>
      </c>
      <c r="Z67" s="28"/>
      <c r="AA67" s="28"/>
      <c r="AB67" s="28"/>
      <c r="AC67" s="28"/>
      <c r="AD67" s="28"/>
      <c r="AE67" s="28"/>
    </row>
    <row r="68" spans="1:31" ht="12.75">
      <c r="A68" s="9"/>
      <c r="B68" s="60">
        <f>B67+1</f>
        <v>2017</v>
      </c>
      <c r="C68" s="222">
        <f>Retribuzioni!AG35</f>
        <v>0</v>
      </c>
      <c r="D68" s="75">
        <f t="shared" si="21"/>
        <v>1</v>
      </c>
      <c r="E68" s="9"/>
      <c r="F68" s="5"/>
      <c r="G68" s="5"/>
      <c r="H68" s="28"/>
      <c r="I68" s="28"/>
      <c r="J68" s="61"/>
      <c r="K68" s="28"/>
      <c r="L68" s="28"/>
      <c r="M68" s="28"/>
      <c r="N68" s="28"/>
      <c r="O68" s="28"/>
      <c r="P68" s="28"/>
      <c r="Q68" s="28"/>
      <c r="R68" s="84">
        <f t="shared" si="15"/>
        <v>2019</v>
      </c>
      <c r="S68" s="77">
        <f>Y67</f>
        <v>73904.68657545635</v>
      </c>
      <c r="T68" s="78">
        <f>D70</f>
        <v>1</v>
      </c>
      <c r="U68" s="77">
        <f>S68*T68</f>
        <v>73904.68657545635</v>
      </c>
      <c r="V68" s="77">
        <f>C70</f>
        <v>0</v>
      </c>
      <c r="W68" s="77">
        <v>33</v>
      </c>
      <c r="X68" s="77">
        <f>V68/100*W68</f>
        <v>0</v>
      </c>
      <c r="Y68" s="187">
        <f>U68+X68</f>
        <v>73904.68657545635</v>
      </c>
      <c r="Z68" s="28"/>
      <c r="AA68" s="28"/>
      <c r="AB68" s="28"/>
      <c r="AC68" s="28"/>
      <c r="AD68" s="28"/>
      <c r="AE68" s="28"/>
    </row>
    <row r="69" spans="1:31" ht="12.75">
      <c r="A69" s="9"/>
      <c r="B69" s="60">
        <f>B68+1</f>
        <v>2018</v>
      </c>
      <c r="C69" s="222">
        <f>Retribuzioni!AG36</f>
        <v>0</v>
      </c>
      <c r="D69" s="75">
        <f t="shared" si="21"/>
        <v>1</v>
      </c>
      <c r="E69" s="9"/>
      <c r="F69" s="5"/>
      <c r="G69" s="5"/>
      <c r="H69" s="93"/>
      <c r="I69" s="28"/>
      <c r="J69" s="28"/>
      <c r="K69" s="28"/>
      <c r="L69" s="28"/>
      <c r="M69" s="28"/>
      <c r="N69" s="28"/>
      <c r="O69" s="28"/>
      <c r="P69" s="28"/>
      <c r="Q69" s="28"/>
      <c r="R69" s="84">
        <f t="shared" si="15"/>
        <v>2020</v>
      </c>
      <c r="S69" s="77">
        <f>Y68</f>
        <v>73904.68657545635</v>
      </c>
      <c r="T69" s="78">
        <f>D71</f>
        <v>1</v>
      </c>
      <c r="U69" s="77">
        <f>S69*T69</f>
        <v>73904.68657545635</v>
      </c>
      <c r="V69" s="77">
        <f>C71</f>
        <v>0</v>
      </c>
      <c r="W69" s="77">
        <v>33</v>
      </c>
      <c r="X69" s="77">
        <f>V69/100*W69</f>
        <v>0</v>
      </c>
      <c r="Y69" s="187">
        <f>U69+X69</f>
        <v>73904.68657545635</v>
      </c>
      <c r="Z69" s="28"/>
      <c r="AA69" s="28"/>
      <c r="AB69" s="28"/>
      <c r="AC69" s="28"/>
      <c r="AD69" s="28"/>
      <c r="AE69" s="28"/>
    </row>
    <row r="70" spans="1:31" ht="12.75">
      <c r="A70" s="9"/>
      <c r="B70" s="60">
        <f>B69+1</f>
        <v>2019</v>
      </c>
      <c r="C70" s="222">
        <f>Retribuzioni!AG37</f>
        <v>0</v>
      </c>
      <c r="D70" s="75">
        <f t="shared" si="21"/>
        <v>1</v>
      </c>
      <c r="E70" s="9"/>
      <c r="F70" s="5"/>
      <c r="G70" s="5"/>
      <c r="H70" s="61"/>
      <c r="I70" s="28"/>
      <c r="J70" s="61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</row>
    <row r="71" spans="1:31" ht="12.75">
      <c r="A71" s="9"/>
      <c r="B71" s="60">
        <f>B70+1</f>
        <v>2020</v>
      </c>
      <c r="C71" s="222">
        <f>Retribuzioni!AG38</f>
        <v>0</v>
      </c>
      <c r="D71" s="75">
        <f t="shared" si="21"/>
        <v>1</v>
      </c>
      <c r="E71" s="9"/>
      <c r="F71" s="5"/>
      <c r="G71" s="5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0">
        <f>VLOOKUP(F1,R57:Y69,8)</f>
        <v>73904.68657545635</v>
      </c>
      <c r="Z71" s="28"/>
      <c r="AA71" s="28"/>
      <c r="AB71" s="28"/>
      <c r="AC71" s="28"/>
      <c r="AD71" s="28"/>
      <c r="AE71" s="28"/>
    </row>
    <row r="72" spans="1:31" ht="12.75">
      <c r="A72" s="9"/>
      <c r="B72" s="9"/>
      <c r="C72" s="9"/>
      <c r="D72" s="9"/>
      <c r="E72" s="9"/>
      <c r="F72" s="5"/>
      <c r="G72" s="5"/>
      <c r="H72" s="61"/>
      <c r="I72" s="28"/>
      <c r="J72" s="61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ht="12.75">
      <c r="A73" s="118"/>
      <c r="B73" s="9"/>
      <c r="C73" s="9"/>
      <c r="D73" s="9"/>
      <c r="E73" s="9"/>
      <c r="F73" s="5"/>
      <c r="G73" s="5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99" t="s">
        <v>271</v>
      </c>
      <c r="S73" s="108"/>
      <c r="T73" s="67"/>
      <c r="U73" s="28"/>
      <c r="V73" s="99" t="s">
        <v>272</v>
      </c>
      <c r="W73" s="108"/>
      <c r="X73" s="67"/>
      <c r="Y73" s="28"/>
      <c r="Z73" s="28"/>
      <c r="AA73" s="28"/>
      <c r="AB73" s="28"/>
      <c r="AC73" s="28"/>
      <c r="AD73" s="28"/>
      <c r="AE73" s="28"/>
    </row>
    <row r="74" spans="1:31" ht="12.75">
      <c r="A74" s="118"/>
      <c r="B74" s="9"/>
      <c r="C74" s="9"/>
      <c r="D74" s="9"/>
      <c r="E74" s="9"/>
      <c r="F74" s="5"/>
      <c r="G74" s="5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109">
        <v>57</v>
      </c>
      <c r="S74" s="226">
        <v>4.419</v>
      </c>
      <c r="T74" s="230">
        <f>VLOOKUP(K19,R74:T82,2)</f>
        <v>4.798</v>
      </c>
      <c r="U74" s="28"/>
      <c r="V74" s="109">
        <v>57</v>
      </c>
      <c r="W74" s="226">
        <v>4.304</v>
      </c>
      <c r="X74" s="230">
        <f>VLOOKUP(K19,V74:X87,2)</f>
        <v>4.661</v>
      </c>
      <c r="Y74" s="28"/>
      <c r="Z74" s="28"/>
      <c r="AA74" s="28"/>
      <c r="AB74" s="28"/>
      <c r="AC74" s="28"/>
      <c r="AD74" s="28"/>
      <c r="AE74" s="28"/>
    </row>
    <row r="75" spans="1:31" ht="12">
      <c r="A75" s="9"/>
      <c r="B75" s="9"/>
      <c r="C75" s="9"/>
      <c r="D75" s="9"/>
      <c r="E75" s="9"/>
      <c r="F75" s="5"/>
      <c r="G75" s="5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109">
        <v>58</v>
      </c>
      <c r="S75" s="226">
        <v>4.538</v>
      </c>
      <c r="T75" s="231">
        <f>VLOOKUP(K19+1,R74:T82,2)</f>
        <v>4.94</v>
      </c>
      <c r="U75" s="28"/>
      <c r="V75" s="109">
        <v>58</v>
      </c>
      <c r="W75" s="226">
        <v>4.416</v>
      </c>
      <c r="X75" s="231">
        <f>VLOOKUP(K19+1,V74:X87,2)</f>
        <v>4.796</v>
      </c>
      <c r="Y75" s="28"/>
      <c r="Z75" s="28"/>
      <c r="AA75" s="28"/>
      <c r="AB75" s="28"/>
      <c r="AC75" s="28"/>
      <c r="AD75" s="28"/>
      <c r="AE75" s="28"/>
    </row>
    <row r="76" spans="1:31" ht="12">
      <c r="A76" s="9"/>
      <c r="B76" s="9"/>
      <c r="C76" s="9"/>
      <c r="D76" s="9"/>
      <c r="E76" s="9"/>
      <c r="F76" s="5"/>
      <c r="G76" s="5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109">
        <v>59</v>
      </c>
      <c r="S76" s="226">
        <v>4.664</v>
      </c>
      <c r="T76" s="208">
        <f>ROUND((T75-T74)/12,6)</f>
        <v>0.011833</v>
      </c>
      <c r="U76" s="28"/>
      <c r="V76" s="109">
        <v>59</v>
      </c>
      <c r="W76" s="226">
        <v>4.535</v>
      </c>
      <c r="X76" s="208">
        <f>ROUND((X75-X74)/12,6)</f>
        <v>0.01125</v>
      </c>
      <c r="Y76" s="28"/>
      <c r="Z76" s="28"/>
      <c r="AA76" s="28"/>
      <c r="AB76" s="28"/>
      <c r="AC76" s="28"/>
      <c r="AD76" s="28"/>
      <c r="AE76" s="28"/>
    </row>
    <row r="77" spans="1:31" ht="12">
      <c r="A77" s="9"/>
      <c r="B77" s="9"/>
      <c r="C77" s="9"/>
      <c r="D77" s="9"/>
      <c r="E77" s="9"/>
      <c r="F77" s="5"/>
      <c r="G77" s="5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109">
        <v>60</v>
      </c>
      <c r="S77" s="226">
        <v>4.798</v>
      </c>
      <c r="T77" s="208">
        <f>ROUND(T76*K20,4)</f>
        <v>0.0237</v>
      </c>
      <c r="U77" s="28"/>
      <c r="V77" s="109">
        <v>60</v>
      </c>
      <c r="W77" s="226">
        <v>4.661</v>
      </c>
      <c r="X77" s="208">
        <f>ROUND(X76*K20,4)</f>
        <v>0.0225</v>
      </c>
      <c r="Y77" s="28"/>
      <c r="Z77" s="28"/>
      <c r="AA77" s="28"/>
      <c r="AB77" s="28"/>
      <c r="AC77" s="28"/>
      <c r="AD77" s="28"/>
      <c r="AE77" s="28"/>
    </row>
    <row r="78" spans="1:31" ht="12">
      <c r="A78" s="9"/>
      <c r="B78" s="5" t="s">
        <v>54</v>
      </c>
      <c r="C78" s="9"/>
      <c r="D78" s="9"/>
      <c r="E78" s="9"/>
      <c r="F78" s="5"/>
      <c r="G78" s="5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109">
        <v>61</v>
      </c>
      <c r="S78" s="226">
        <v>4.94</v>
      </c>
      <c r="T78" s="208">
        <f>T74+T77</f>
        <v>4.8217</v>
      </c>
      <c r="U78" s="28"/>
      <c r="V78" s="109">
        <v>61</v>
      </c>
      <c r="W78" s="226">
        <v>4.796</v>
      </c>
      <c r="X78" s="208">
        <f>X74+X77</f>
        <v>4.6834999999999996</v>
      </c>
      <c r="Y78" s="28"/>
      <c r="Z78" s="28"/>
      <c r="AA78" s="28"/>
      <c r="AB78" s="28"/>
      <c r="AC78" s="28"/>
      <c r="AD78" s="28"/>
      <c r="AE78" s="28"/>
    </row>
    <row r="79" spans="1:31" ht="12.75">
      <c r="A79" s="9"/>
      <c r="B79" s="5" t="s">
        <v>57</v>
      </c>
      <c r="C79" s="5"/>
      <c r="D79" s="5"/>
      <c r="E79" s="5"/>
      <c r="F79" s="5"/>
      <c r="G79" s="5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109">
        <v>62</v>
      </c>
      <c r="S79" s="226">
        <v>5.093</v>
      </c>
      <c r="T79" s="229">
        <f>IF(K19&gt;64,S82,IF(K19&lt;57,S74,T78))</f>
        <v>4.8217</v>
      </c>
      <c r="U79" s="28"/>
      <c r="V79" s="109">
        <v>62</v>
      </c>
      <c r="W79" s="226">
        <v>4.94</v>
      </c>
      <c r="X79" s="229">
        <f>IF(K19&gt;70,W87,IF(K19&lt;57,W74,X78))</f>
        <v>4.6834999999999996</v>
      </c>
      <c r="Y79" s="28"/>
      <c r="Z79" s="28"/>
      <c r="AA79" s="28"/>
      <c r="AB79" s="28"/>
      <c r="AC79" s="28"/>
      <c r="AD79" s="28"/>
      <c r="AE79" s="28"/>
    </row>
    <row r="80" spans="1:31" ht="12.75">
      <c r="A80" s="9"/>
      <c r="B80" s="100"/>
      <c r="C80" s="72" t="s">
        <v>23</v>
      </c>
      <c r="D80" s="72" t="s">
        <v>21</v>
      </c>
      <c r="E80" s="72" t="s">
        <v>27</v>
      </c>
      <c r="F80" s="5"/>
      <c r="G80" s="5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109">
        <v>63</v>
      </c>
      <c r="S80" s="226">
        <v>5.257</v>
      </c>
      <c r="T80" s="208"/>
      <c r="U80" s="28"/>
      <c r="V80" s="109">
        <v>63</v>
      </c>
      <c r="W80" s="226">
        <v>5.094</v>
      </c>
      <c r="X80" s="208"/>
      <c r="Y80" s="28"/>
      <c r="Z80" s="28"/>
      <c r="AA80" s="28"/>
      <c r="AB80" s="28"/>
      <c r="AC80" s="28"/>
      <c r="AD80" s="28"/>
      <c r="AE80" s="28"/>
    </row>
    <row r="81" spans="1:31" ht="12.75">
      <c r="A81" s="9"/>
      <c r="B81" s="72">
        <f>Anzianità!A21</f>
        <v>1965</v>
      </c>
      <c r="C81" s="223">
        <f>Anzianità!D21</f>
        <v>0</v>
      </c>
      <c r="D81" s="101">
        <v>18.76</v>
      </c>
      <c r="E81" s="102">
        <f>C81*D81</f>
        <v>0</v>
      </c>
      <c r="F81" s="5"/>
      <c r="G81" s="5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109">
        <v>64</v>
      </c>
      <c r="S81" s="226">
        <v>5.432</v>
      </c>
      <c r="T81" s="208"/>
      <c r="U81" s="28"/>
      <c r="V81" s="109">
        <v>64</v>
      </c>
      <c r="W81" s="226">
        <v>5.259</v>
      </c>
      <c r="X81" s="208"/>
      <c r="Y81" s="28"/>
      <c r="Z81" s="28"/>
      <c r="AA81" s="28"/>
      <c r="AB81" s="28"/>
      <c r="AC81" s="28"/>
      <c r="AD81" s="28"/>
      <c r="AE81" s="28"/>
    </row>
    <row r="82" spans="1:31" ht="12.75">
      <c r="A82" s="9"/>
      <c r="B82" s="72">
        <f>Anzianità!A22</f>
        <v>1966</v>
      </c>
      <c r="C82" s="223">
        <f>Anzianità!D22</f>
        <v>0</v>
      </c>
      <c r="D82" s="101">
        <v>18.76</v>
      </c>
      <c r="E82" s="102">
        <f>C82*D82</f>
        <v>0</v>
      </c>
      <c r="F82" s="5"/>
      <c r="G82" s="5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81">
        <v>65</v>
      </c>
      <c r="S82" s="227">
        <v>5.62</v>
      </c>
      <c r="T82" s="213"/>
      <c r="U82" s="28"/>
      <c r="V82" s="109">
        <v>65</v>
      </c>
      <c r="W82" s="226">
        <v>5.435</v>
      </c>
      <c r="X82" s="208"/>
      <c r="Y82" s="28"/>
      <c r="Z82" s="28"/>
      <c r="AA82" s="28"/>
      <c r="AB82" s="28"/>
      <c r="AC82" s="28"/>
      <c r="AD82" s="28"/>
      <c r="AE82" s="28"/>
    </row>
    <row r="83" spans="1:31" ht="12.75">
      <c r="A83" s="5"/>
      <c r="B83" s="72">
        <f>Anzianità!A23</f>
        <v>1967</v>
      </c>
      <c r="C83" s="223">
        <f>Anzianità!D23</f>
        <v>0</v>
      </c>
      <c r="D83" s="101">
        <v>19.11</v>
      </c>
      <c r="E83" s="102">
        <f>C83*D83</f>
        <v>0</v>
      </c>
      <c r="F83" s="5"/>
      <c r="G83" s="5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109">
        <v>66</v>
      </c>
      <c r="W83" s="226">
        <v>5.624</v>
      </c>
      <c r="X83" s="208"/>
      <c r="Y83" s="28"/>
      <c r="Z83" s="28"/>
      <c r="AA83" s="28"/>
      <c r="AB83" s="28"/>
      <c r="AC83" s="28"/>
      <c r="AD83" s="28"/>
      <c r="AE83" s="28"/>
    </row>
    <row r="84" spans="1:31" ht="12.75">
      <c r="A84" s="5"/>
      <c r="B84" s="72">
        <f>Anzianità!A24</f>
        <v>1968</v>
      </c>
      <c r="C84" s="223">
        <f>Anzianità!D24</f>
        <v>0</v>
      </c>
      <c r="D84" s="101">
        <v>19.11</v>
      </c>
      <c r="E84" s="102">
        <f>C84*D84</f>
        <v>0</v>
      </c>
      <c r="F84" s="5"/>
      <c r="G84" s="5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109">
        <v>67</v>
      </c>
      <c r="W84" s="226">
        <v>5.826</v>
      </c>
      <c r="X84" s="208"/>
      <c r="Y84" s="28"/>
      <c r="Z84" s="28"/>
      <c r="AA84" s="28"/>
      <c r="AB84" s="28"/>
      <c r="AC84" s="28"/>
      <c r="AD84" s="28"/>
      <c r="AE84" s="28"/>
    </row>
    <row r="85" spans="1:31" ht="12.75">
      <c r="A85" s="5"/>
      <c r="B85" s="72">
        <f>Anzianità!A25</f>
        <v>1968</v>
      </c>
      <c r="C85" s="223">
        <f>Anzianità!D25</f>
        <v>0</v>
      </c>
      <c r="D85" s="101">
        <v>20.76</v>
      </c>
      <c r="E85" s="102">
        <f aca="true" t="shared" si="22" ref="E85:E95">C85*D85</f>
        <v>0</v>
      </c>
      <c r="F85" s="5"/>
      <c r="G85" s="5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132" t="s">
        <v>273</v>
      </c>
      <c r="S85" s="183"/>
      <c r="T85" s="327">
        <f>IF(T86&gt;2015,X96,IF(T86&gt;2012,X79,T79))</f>
        <v>4.6107000000000005</v>
      </c>
      <c r="U85" s="28"/>
      <c r="V85" s="109">
        <v>68</v>
      </c>
      <c r="W85" s="226">
        <v>6.046</v>
      </c>
      <c r="X85" s="208"/>
      <c r="Y85" s="28"/>
      <c r="Z85" s="28"/>
      <c r="AA85" s="28"/>
      <c r="AB85" s="28"/>
      <c r="AC85" s="28"/>
      <c r="AD85" s="28"/>
      <c r="AE85" s="28"/>
    </row>
    <row r="86" spans="1:31" ht="12.75">
      <c r="A86" s="5"/>
      <c r="B86" s="72">
        <f>Anzianità!A26</f>
        <v>1969</v>
      </c>
      <c r="C86" s="223">
        <f>Anzianità!D26</f>
        <v>0</v>
      </c>
      <c r="D86" s="101">
        <v>20.76</v>
      </c>
      <c r="E86" s="102">
        <f t="shared" si="22"/>
        <v>0</v>
      </c>
      <c r="F86" s="5"/>
      <c r="G86" s="5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67">
        <f>YEAR(D11)</f>
        <v>2017</v>
      </c>
      <c r="U86" s="28"/>
      <c r="V86" s="109">
        <v>69</v>
      </c>
      <c r="W86" s="226">
        <v>6.283</v>
      </c>
      <c r="X86" s="208"/>
      <c r="Y86" s="28"/>
      <c r="Z86" s="28"/>
      <c r="AA86" s="28"/>
      <c r="AB86" s="28"/>
      <c r="AC86" s="28"/>
      <c r="AD86" s="28"/>
      <c r="AE86" s="28"/>
    </row>
    <row r="87" spans="1:31" ht="12.75">
      <c r="A87" s="5"/>
      <c r="B87" s="72">
        <f>Anzianità!A27</f>
        <v>1970</v>
      </c>
      <c r="C87" s="223">
        <f>Anzianità!D27</f>
        <v>0</v>
      </c>
      <c r="D87" s="101">
        <v>20.76</v>
      </c>
      <c r="E87" s="102">
        <f t="shared" si="22"/>
        <v>0</v>
      </c>
      <c r="F87" s="5"/>
      <c r="G87" s="5"/>
      <c r="H87" s="28"/>
      <c r="I87" s="28"/>
      <c r="J87" s="28"/>
      <c r="K87" s="28"/>
      <c r="L87" s="30"/>
      <c r="M87" s="28"/>
      <c r="N87" s="28"/>
      <c r="O87" s="28"/>
      <c r="P87" s="28"/>
      <c r="Q87" s="28"/>
      <c r="R87" s="28"/>
      <c r="S87" s="28"/>
      <c r="T87" s="28"/>
      <c r="U87" s="28"/>
      <c r="V87" s="81">
        <v>70</v>
      </c>
      <c r="W87" s="227">
        <v>6.541</v>
      </c>
      <c r="X87" s="213"/>
      <c r="Y87" s="28"/>
      <c r="Z87" s="28"/>
      <c r="AA87" s="28"/>
      <c r="AB87" s="28"/>
      <c r="AC87" s="28"/>
      <c r="AD87" s="28"/>
      <c r="AE87" s="28"/>
    </row>
    <row r="88" spans="1:31" ht="12.75">
      <c r="A88" s="5"/>
      <c r="B88" s="72">
        <f>Anzianità!A28</f>
        <v>1971</v>
      </c>
      <c r="C88" s="223">
        <f>Anzianità!D28</f>
        <v>0</v>
      </c>
      <c r="D88" s="101">
        <v>19.11</v>
      </c>
      <c r="E88" s="102">
        <f t="shared" si="22"/>
        <v>0</v>
      </c>
      <c r="F88" s="5"/>
      <c r="G88" s="5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ht="12.75">
      <c r="A89" s="5"/>
      <c r="B89" s="72">
        <f>Anzianità!A29</f>
        <v>1972</v>
      </c>
      <c r="C89" s="223">
        <f>Anzianità!D29</f>
        <v>0</v>
      </c>
      <c r="D89" s="101">
        <v>19.21</v>
      </c>
      <c r="E89" s="102">
        <f t="shared" si="22"/>
        <v>0</v>
      </c>
      <c r="F89" s="5"/>
      <c r="G89" s="5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ht="12.75">
      <c r="A90" s="5"/>
      <c r="B90" s="72">
        <f>Anzianità!A30</f>
        <v>1973</v>
      </c>
      <c r="C90" s="223">
        <f>Anzianità!D30</f>
        <v>0</v>
      </c>
      <c r="D90" s="101">
        <v>19.21</v>
      </c>
      <c r="E90" s="102">
        <f t="shared" si="22"/>
        <v>0</v>
      </c>
      <c r="F90" s="5"/>
      <c r="G90" s="5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99" t="s">
        <v>277</v>
      </c>
      <c r="W90" s="108"/>
      <c r="X90" s="67"/>
      <c r="Y90" s="28"/>
      <c r="Z90" s="28"/>
      <c r="AA90" s="28"/>
      <c r="AB90" s="28"/>
      <c r="AC90" s="28"/>
      <c r="AD90" s="28"/>
      <c r="AE90" s="28"/>
    </row>
    <row r="91" spans="1:31" ht="12.75">
      <c r="A91" s="5"/>
      <c r="B91" s="72">
        <f>Anzianità!A31</f>
        <v>1974</v>
      </c>
      <c r="C91" s="223">
        <f>Anzianità!D31</f>
        <v>0</v>
      </c>
      <c r="D91" s="101">
        <v>20.21</v>
      </c>
      <c r="E91" s="102">
        <f t="shared" si="22"/>
        <v>0</v>
      </c>
      <c r="F91" s="5"/>
      <c r="G91" s="5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109">
        <v>57</v>
      </c>
      <c r="W91" s="226">
        <v>4.246</v>
      </c>
      <c r="X91" s="230">
        <f>VLOOKUP(K19,V91:X104,2)</f>
        <v>4.589</v>
      </c>
      <c r="Y91" s="28"/>
      <c r="Z91" s="28"/>
      <c r="AA91" s="28"/>
      <c r="AB91" s="28"/>
      <c r="AC91" s="28"/>
      <c r="AD91" s="28"/>
      <c r="AE91" s="28"/>
    </row>
    <row r="92" spans="1:31" ht="12.75">
      <c r="A92" s="5"/>
      <c r="B92" s="72">
        <f>Anzianità!A32</f>
        <v>1974</v>
      </c>
      <c r="C92" s="223">
        <f>Anzianità!D32</f>
        <v>0</v>
      </c>
      <c r="D92" s="101">
        <v>20.11</v>
      </c>
      <c r="E92" s="102">
        <f t="shared" si="22"/>
        <v>0</v>
      </c>
      <c r="F92" s="5"/>
      <c r="G92" s="5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109">
        <v>58</v>
      </c>
      <c r="W92" s="226">
        <v>4.354</v>
      </c>
      <c r="X92" s="231">
        <f>VLOOKUP(K19+1,V91:X104,2)</f>
        <v>4.719</v>
      </c>
      <c r="Y92" s="28"/>
      <c r="Z92" s="28"/>
      <c r="AA92" s="28"/>
      <c r="AB92" s="28"/>
      <c r="AC92" s="28"/>
      <c r="AD92" s="28"/>
      <c r="AE92" s="28"/>
    </row>
    <row r="93" spans="1:31" ht="12.75">
      <c r="A93" s="5"/>
      <c r="B93" s="72">
        <f>Anzianità!A33</f>
        <v>1975</v>
      </c>
      <c r="C93" s="223">
        <f>Anzianità!D33</f>
        <v>0</v>
      </c>
      <c r="D93" s="101">
        <v>20.11</v>
      </c>
      <c r="E93" s="102">
        <f t="shared" si="22"/>
        <v>0</v>
      </c>
      <c r="F93" s="5"/>
      <c r="G93" s="5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109">
        <v>59</v>
      </c>
      <c r="W93" s="226">
        <v>4.468</v>
      </c>
      <c r="X93" s="208">
        <f>ROUND((X92-X91)/12,6)</f>
        <v>0.010833</v>
      </c>
      <c r="Y93" s="28"/>
      <c r="Z93" s="28"/>
      <c r="AA93" s="28"/>
      <c r="AB93" s="28"/>
      <c r="AC93" s="28"/>
      <c r="AD93" s="28"/>
      <c r="AE93" s="28"/>
    </row>
    <row r="94" spans="1:31" ht="12.75">
      <c r="A94" s="5"/>
      <c r="B94" s="72">
        <f>Anzianità!A34</f>
        <v>1975</v>
      </c>
      <c r="C94" s="223">
        <f>Anzianità!D34</f>
        <v>0</v>
      </c>
      <c r="D94" s="101">
        <v>21.51</v>
      </c>
      <c r="E94" s="102">
        <f t="shared" si="22"/>
        <v>0</v>
      </c>
      <c r="F94" s="5"/>
      <c r="G94" s="5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109">
        <v>60</v>
      </c>
      <c r="W94" s="226">
        <v>4.589</v>
      </c>
      <c r="X94" s="208">
        <f>ROUND(X93*K20,4)</f>
        <v>0.0217</v>
      </c>
      <c r="Y94" s="28"/>
      <c r="Z94" s="28"/>
      <c r="AA94" s="28"/>
      <c r="AB94" s="28"/>
      <c r="AC94" s="28"/>
      <c r="AD94" s="28"/>
      <c r="AE94" s="28"/>
    </row>
    <row r="95" spans="1:31" ht="12.75">
      <c r="A95" s="5"/>
      <c r="B95" s="72">
        <f>Anzianità!A35</f>
        <v>1976</v>
      </c>
      <c r="C95" s="223">
        <f>Anzianità!D35</f>
        <v>0</v>
      </c>
      <c r="D95" s="101">
        <v>23.51</v>
      </c>
      <c r="E95" s="102">
        <f t="shared" si="22"/>
        <v>0</v>
      </c>
      <c r="F95" s="5"/>
      <c r="G95" s="5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109">
        <v>61</v>
      </c>
      <c r="W95" s="226">
        <v>4.719</v>
      </c>
      <c r="X95" s="208">
        <f>X91+X94</f>
        <v>4.6107000000000005</v>
      </c>
      <c r="Y95" s="28"/>
      <c r="Z95" s="28"/>
      <c r="AA95" s="28"/>
      <c r="AB95" s="28"/>
      <c r="AC95" s="28"/>
      <c r="AD95" s="28"/>
      <c r="AE95" s="28"/>
    </row>
    <row r="96" spans="1:31" ht="12.75">
      <c r="A96" s="5"/>
      <c r="B96" s="72">
        <f>Anzianità!A36</f>
        <v>1977</v>
      </c>
      <c r="C96" s="223">
        <f>Anzianità!D36</f>
        <v>0</v>
      </c>
      <c r="D96" s="101">
        <v>23.51</v>
      </c>
      <c r="E96" s="102">
        <f aca="true" t="shared" si="23" ref="E96:E106">C96*D96</f>
        <v>0</v>
      </c>
      <c r="F96" s="5"/>
      <c r="G96" s="5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109">
        <v>62</v>
      </c>
      <c r="W96" s="226">
        <v>4.856</v>
      </c>
      <c r="X96" s="229">
        <f>IF(K19&gt;70,W104,IF(K19&lt;57,W91,X95))</f>
        <v>4.6107000000000005</v>
      </c>
      <c r="Y96" s="28"/>
      <c r="Z96" s="28"/>
      <c r="AA96" s="28"/>
      <c r="AB96" s="28"/>
      <c r="AC96" s="28"/>
      <c r="AD96" s="28"/>
      <c r="AE96" s="28"/>
    </row>
    <row r="97" spans="1:31" ht="12.75">
      <c r="A97" s="5"/>
      <c r="B97" s="72">
        <f>Anzianità!A37</f>
        <v>1978</v>
      </c>
      <c r="C97" s="223">
        <f>Anzianità!D37</f>
        <v>0</v>
      </c>
      <c r="D97" s="101">
        <v>23.51</v>
      </c>
      <c r="E97" s="102">
        <f t="shared" si="23"/>
        <v>0</v>
      </c>
      <c r="F97" s="5"/>
      <c r="G97" s="5"/>
      <c r="H97" s="28"/>
      <c r="I97" s="28"/>
      <c r="J97" s="28"/>
      <c r="K97" s="28"/>
      <c r="L97" s="71"/>
      <c r="M97" s="28"/>
      <c r="N97" s="28"/>
      <c r="O97" s="28"/>
      <c r="P97" s="28"/>
      <c r="Q97" s="28"/>
      <c r="R97" s="28"/>
      <c r="S97" s="28"/>
      <c r="T97" s="28"/>
      <c r="U97" s="28"/>
      <c r="V97" s="109">
        <v>63</v>
      </c>
      <c r="W97" s="226">
        <v>5.002</v>
      </c>
      <c r="X97" s="208"/>
      <c r="Y97" s="28"/>
      <c r="Z97" s="28"/>
      <c r="AA97" s="28"/>
      <c r="AB97" s="28"/>
      <c r="AC97" s="28"/>
      <c r="AD97" s="28"/>
      <c r="AE97" s="28"/>
    </row>
    <row r="98" spans="1:31" ht="12.75">
      <c r="A98" s="5"/>
      <c r="B98" s="72">
        <f>Anzianità!A38</f>
        <v>1979</v>
      </c>
      <c r="C98" s="223">
        <f>Anzianità!D38</f>
        <v>0</v>
      </c>
      <c r="D98" s="101">
        <v>23.51</v>
      </c>
      <c r="E98" s="102">
        <f t="shared" si="23"/>
        <v>0</v>
      </c>
      <c r="F98" s="5"/>
      <c r="G98" s="5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109">
        <v>64</v>
      </c>
      <c r="W98" s="226">
        <v>5.159</v>
      </c>
      <c r="X98" s="208"/>
      <c r="Y98" s="28"/>
      <c r="Z98" s="28"/>
      <c r="AA98" s="28"/>
      <c r="AB98" s="28"/>
      <c r="AC98" s="28"/>
      <c r="AD98" s="28"/>
      <c r="AE98" s="28"/>
    </row>
    <row r="99" spans="1:31" ht="12.75">
      <c r="A99" s="5"/>
      <c r="B99" s="72">
        <f>Anzianità!A39</f>
        <v>1980</v>
      </c>
      <c r="C99" s="223">
        <f>Anzianità!D39</f>
        <v>0</v>
      </c>
      <c r="D99" s="101">
        <v>23.51</v>
      </c>
      <c r="E99" s="102">
        <f t="shared" si="23"/>
        <v>0</v>
      </c>
      <c r="F99" s="5"/>
      <c r="G99" s="5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109">
        <v>65</v>
      </c>
      <c r="W99" s="226">
        <v>5.326</v>
      </c>
      <c r="X99" s="208"/>
      <c r="Y99" s="28"/>
      <c r="Z99" s="28"/>
      <c r="AA99" s="28"/>
      <c r="AB99" s="28"/>
      <c r="AC99" s="28"/>
      <c r="AD99" s="28"/>
      <c r="AE99" s="28"/>
    </row>
    <row r="100" spans="1:31" ht="12.75">
      <c r="A100" s="5"/>
      <c r="B100" s="72">
        <f>Anzianità!A40</f>
        <v>1980</v>
      </c>
      <c r="C100" s="223">
        <f>Anzianità!D40</f>
        <v>0</v>
      </c>
      <c r="D100" s="101">
        <v>24.21</v>
      </c>
      <c r="E100" s="102">
        <f t="shared" si="23"/>
        <v>0</v>
      </c>
      <c r="F100" s="5"/>
      <c r="G100" s="5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09">
        <v>66</v>
      </c>
      <c r="W100" s="226">
        <v>5.506</v>
      </c>
      <c r="X100" s="208"/>
      <c r="Y100" s="28"/>
      <c r="Z100" s="28"/>
      <c r="AA100" s="28"/>
      <c r="AB100" s="28"/>
      <c r="AC100" s="28"/>
      <c r="AD100" s="28"/>
      <c r="AE100" s="28"/>
    </row>
    <row r="101" spans="1:31" ht="12.75">
      <c r="A101" s="5"/>
      <c r="B101" s="72">
        <f>Anzianità!A41</f>
        <v>1981</v>
      </c>
      <c r="C101" s="223">
        <f>Anzianità!D41</f>
        <v>0</v>
      </c>
      <c r="D101" s="101">
        <v>24.21</v>
      </c>
      <c r="E101" s="102">
        <f t="shared" si="23"/>
        <v>0</v>
      </c>
      <c r="F101" s="5"/>
      <c r="G101" s="5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109">
        <v>67</v>
      </c>
      <c r="W101" s="226">
        <v>5.7</v>
      </c>
      <c r="X101" s="208"/>
      <c r="Y101" s="28"/>
      <c r="Z101" s="28"/>
      <c r="AA101" s="28"/>
      <c r="AB101" s="28"/>
      <c r="AC101" s="28"/>
      <c r="AD101" s="28"/>
      <c r="AE101" s="28"/>
    </row>
    <row r="102" spans="1:31" ht="12.75">
      <c r="A102" s="5"/>
      <c r="B102" s="72">
        <f>Anzianità!A42</f>
        <v>1982</v>
      </c>
      <c r="C102" s="223">
        <f>Anzianità!D42</f>
        <v>0</v>
      </c>
      <c r="D102" s="101">
        <v>24.21</v>
      </c>
      <c r="E102" s="102">
        <f t="shared" si="23"/>
        <v>0</v>
      </c>
      <c r="F102" s="5"/>
      <c r="G102" s="5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109">
        <v>68</v>
      </c>
      <c r="W102" s="226">
        <v>5.91</v>
      </c>
      <c r="X102" s="208"/>
      <c r="Y102" s="28"/>
      <c r="Z102" s="28"/>
      <c r="AA102" s="28"/>
      <c r="AB102" s="28"/>
      <c r="AC102" s="28"/>
      <c r="AD102" s="28"/>
      <c r="AE102" s="28"/>
    </row>
    <row r="103" spans="1:31" ht="12.75">
      <c r="A103" s="5"/>
      <c r="B103" s="72">
        <f>Anzianità!A43</f>
        <v>1982</v>
      </c>
      <c r="C103" s="223">
        <f>Anzianità!D43</f>
        <v>0</v>
      </c>
      <c r="D103" s="101">
        <v>24.51</v>
      </c>
      <c r="E103" s="102">
        <f t="shared" si="23"/>
        <v>0</v>
      </c>
      <c r="F103" s="5"/>
      <c r="G103" s="5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109">
        <v>69</v>
      </c>
      <c r="W103" s="226">
        <v>6.135</v>
      </c>
      <c r="X103" s="208"/>
      <c r="Y103" s="28"/>
      <c r="Z103" s="28"/>
      <c r="AA103" s="28"/>
      <c r="AB103" s="28"/>
      <c r="AC103" s="28"/>
      <c r="AD103" s="28"/>
      <c r="AE103" s="28"/>
    </row>
    <row r="104" spans="1:31" ht="12.75">
      <c r="A104" s="5"/>
      <c r="B104" s="72">
        <f>Anzianità!A44</f>
        <v>1983</v>
      </c>
      <c r="C104" s="223">
        <f>Anzianità!D44</f>
        <v>0</v>
      </c>
      <c r="D104" s="103">
        <v>24.71</v>
      </c>
      <c r="E104" s="102">
        <f t="shared" si="23"/>
        <v>0</v>
      </c>
      <c r="F104" s="5"/>
      <c r="G104" s="5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81">
        <v>70</v>
      </c>
      <c r="W104" s="227">
        <v>6.378</v>
      </c>
      <c r="X104" s="213"/>
      <c r="Y104" s="28"/>
      <c r="Z104" s="28"/>
      <c r="AA104" s="28"/>
      <c r="AB104" s="28"/>
      <c r="AC104" s="28"/>
      <c r="AD104" s="28"/>
      <c r="AE104" s="28"/>
    </row>
    <row r="105" spans="1:31" ht="12.75">
      <c r="A105" s="5"/>
      <c r="B105" s="72">
        <f>Anzianità!A45</f>
        <v>1984</v>
      </c>
      <c r="C105" s="223">
        <f>Anzianità!D45</f>
        <v>0</v>
      </c>
      <c r="D105" s="103">
        <v>24.71</v>
      </c>
      <c r="E105" s="102">
        <f t="shared" si="23"/>
        <v>0</v>
      </c>
      <c r="F105" s="5"/>
      <c r="G105" s="5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t="12.75">
      <c r="A106" s="5"/>
      <c r="B106" s="72">
        <f>Anzianità!A46</f>
        <v>1985</v>
      </c>
      <c r="C106" s="223">
        <f>Anzianità!D46</f>
        <v>0</v>
      </c>
      <c r="D106" s="103">
        <v>24.71</v>
      </c>
      <c r="E106" s="102">
        <f t="shared" si="23"/>
        <v>0</v>
      </c>
      <c r="F106" s="5"/>
      <c r="G106" s="5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ht="12.75">
      <c r="A107" s="5"/>
      <c r="B107" s="72">
        <f>Anzianità!A47</f>
        <v>1986</v>
      </c>
      <c r="C107" s="223">
        <f>Anzianità!D47</f>
        <v>0</v>
      </c>
      <c r="D107" s="103">
        <v>25.71</v>
      </c>
      <c r="E107" s="102">
        <f aca="true" t="shared" si="24" ref="E107:E115">C107*D107</f>
        <v>0</v>
      </c>
      <c r="F107" s="5"/>
      <c r="G107" s="5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ht="12.75">
      <c r="A108" s="5"/>
      <c r="B108" s="72">
        <f>Anzianità!A48</f>
        <v>1987</v>
      </c>
      <c r="C108" s="223">
        <f>Anzianità!D48</f>
        <v>0</v>
      </c>
      <c r="D108" s="103">
        <v>25.71</v>
      </c>
      <c r="E108" s="102">
        <f t="shared" si="24"/>
        <v>0</v>
      </c>
      <c r="F108" s="5"/>
      <c r="G108" s="5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ht="12.75">
      <c r="A109" s="5"/>
      <c r="B109" s="72">
        <f>Anzianità!A49</f>
        <v>1988</v>
      </c>
      <c r="C109" s="223">
        <f>Anzianità!D49</f>
        <v>0</v>
      </c>
      <c r="D109" s="103">
        <v>25.71</v>
      </c>
      <c r="E109" s="102">
        <f t="shared" si="24"/>
        <v>0</v>
      </c>
      <c r="F109" s="5"/>
      <c r="G109" s="5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2.75">
      <c r="A110" s="73"/>
      <c r="B110" s="72">
        <f>Anzianità!A50</f>
        <v>1989</v>
      </c>
      <c r="C110" s="223">
        <f>Anzianità!D50</f>
        <v>0</v>
      </c>
      <c r="D110" s="103">
        <v>26.12</v>
      </c>
      <c r="E110" s="102">
        <f t="shared" si="24"/>
        <v>0</v>
      </c>
      <c r="F110" s="5"/>
      <c r="G110" s="5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12.75">
      <c r="A111" s="73"/>
      <c r="B111" s="72">
        <f>Anzianità!A51</f>
        <v>1990</v>
      </c>
      <c r="C111" s="223">
        <f>Anzianità!D51</f>
        <v>0</v>
      </c>
      <c r="D111" s="103">
        <v>26.12</v>
      </c>
      <c r="E111" s="102">
        <f t="shared" si="24"/>
        <v>0</v>
      </c>
      <c r="F111" s="5"/>
      <c r="G111" s="5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12.75">
      <c r="A112" s="5"/>
      <c r="B112" s="72">
        <f>Anzianità!A52</f>
        <v>1991</v>
      </c>
      <c r="C112" s="223">
        <f>Anzianità!D52</f>
        <v>0</v>
      </c>
      <c r="D112" s="103">
        <v>26.12</v>
      </c>
      <c r="E112" s="102">
        <f t="shared" si="24"/>
        <v>0</v>
      </c>
      <c r="F112" s="5"/>
      <c r="G112" s="5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ht="12.75">
      <c r="A113" s="5"/>
      <c r="B113" s="72">
        <f>Anzianità!A53</f>
        <v>1991</v>
      </c>
      <c r="C113" s="223">
        <f>Anzianità!D53</f>
        <v>0</v>
      </c>
      <c r="D113" s="103">
        <v>26.37</v>
      </c>
      <c r="E113" s="102">
        <f t="shared" si="24"/>
        <v>0</v>
      </c>
      <c r="F113" s="5"/>
      <c r="G113" s="5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ht="12.75">
      <c r="A114" s="5"/>
      <c r="B114" s="72">
        <f>Anzianità!A54</f>
        <v>1992</v>
      </c>
      <c r="C114" s="223">
        <f>Anzianità!D54</f>
        <v>180</v>
      </c>
      <c r="D114" s="103">
        <v>26.37</v>
      </c>
      <c r="E114" s="102">
        <f t="shared" si="24"/>
        <v>4746.6</v>
      </c>
      <c r="F114" s="5"/>
      <c r="G114" s="5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ht="12.75">
      <c r="A115" s="5"/>
      <c r="B115" s="72">
        <f>Anzianità!A55</f>
        <v>1992</v>
      </c>
      <c r="C115" s="223">
        <f>Anzianità!D55</f>
        <v>180</v>
      </c>
      <c r="D115" s="103">
        <v>26.97</v>
      </c>
      <c r="E115" s="102">
        <f t="shared" si="24"/>
        <v>4854.599999999999</v>
      </c>
      <c r="F115" s="5"/>
      <c r="G115" s="5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ht="12.75">
      <c r="A116" s="5"/>
      <c r="B116" s="72" t="s">
        <v>28</v>
      </c>
      <c r="C116" s="116">
        <f>SUM(C81:C115)</f>
        <v>360</v>
      </c>
      <c r="D116" s="72"/>
      <c r="E116" s="104">
        <f>SUM(E81:E115)</f>
        <v>9601.2</v>
      </c>
      <c r="F116" s="5"/>
      <c r="G116" s="5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ht="12.75">
      <c r="A117" s="5"/>
      <c r="B117" s="110" t="s">
        <v>58</v>
      </c>
      <c r="C117" s="111"/>
      <c r="D117" s="112"/>
      <c r="E117" s="105">
        <f>ROUND(E116/C116,2)</f>
        <v>26.67</v>
      </c>
      <c r="F117" s="5"/>
      <c r="G117" s="5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ht="12">
      <c r="A118" s="5"/>
      <c r="B118" s="9"/>
      <c r="C118" s="5"/>
      <c r="D118" s="5"/>
      <c r="E118" s="5"/>
      <c r="F118" s="5"/>
      <c r="G118" s="5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ht="12">
      <c r="A119" s="5"/>
      <c r="B119" s="9"/>
      <c r="C119" s="5"/>
      <c r="D119" s="5"/>
      <c r="E119" s="5"/>
      <c r="F119" s="5"/>
      <c r="G119" s="5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ht="12.75">
      <c r="A120" s="118" t="s">
        <v>149</v>
      </c>
      <c r="B120" s="9"/>
      <c r="C120" s="5"/>
      <c r="D120" s="5"/>
      <c r="E120" s="5"/>
      <c r="F120" s="5"/>
      <c r="G120" s="5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ht="12.75">
      <c r="A121" s="37" t="s">
        <v>148</v>
      </c>
      <c r="B121" s="9"/>
      <c r="C121" s="5"/>
      <c r="D121" s="5"/>
      <c r="E121" s="5"/>
      <c r="F121" s="5"/>
      <c r="G121" s="5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ht="12">
      <c r="A122" s="5"/>
      <c r="B122" s="9"/>
      <c r="C122" s="5"/>
      <c r="D122" s="5"/>
      <c r="E122" s="5"/>
      <c r="F122" s="5"/>
      <c r="G122" s="5"/>
      <c r="H122" s="30" t="s">
        <v>1</v>
      </c>
      <c r="I122" s="30"/>
      <c r="J122" s="30"/>
      <c r="K122" s="30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ht="12">
      <c r="A123" s="5"/>
      <c r="B123" s="9" t="s">
        <v>0</v>
      </c>
      <c r="C123" s="5"/>
      <c r="D123" s="5"/>
      <c r="E123" s="5"/>
      <c r="F123" s="5"/>
      <c r="G123" s="5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ht="12">
      <c r="A124" s="5"/>
      <c r="B124" s="9" t="s">
        <v>0</v>
      </c>
      <c r="C124" s="5"/>
      <c r="D124" s="5"/>
      <c r="E124" s="5"/>
      <c r="F124" s="5"/>
      <c r="G124" s="5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ht="12">
      <c r="A125" s="5"/>
      <c r="B125" s="9" t="s">
        <v>0</v>
      </c>
      <c r="C125" s="5"/>
      <c r="D125" s="5"/>
      <c r="E125" s="5"/>
      <c r="F125" s="5"/>
      <c r="G125" s="5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ht="19.5">
      <c r="A126" s="5"/>
      <c r="B126" s="9" t="s">
        <v>0</v>
      </c>
      <c r="C126" s="5"/>
      <c r="D126" s="5"/>
      <c r="E126" s="5"/>
      <c r="F126" s="5"/>
      <c r="G126" s="5"/>
      <c r="H126" s="10" t="str">
        <f>A2</f>
        <v>minapoli software</v>
      </c>
      <c r="I126" s="10"/>
      <c r="J126" s="10"/>
      <c r="K126" s="10"/>
      <c r="L126" s="8"/>
      <c r="M126" s="8"/>
      <c r="N126" s="8"/>
      <c r="O126" s="8"/>
      <c r="P126" s="8"/>
      <c r="Q126" s="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ht="19.5">
      <c r="A127" s="5"/>
      <c r="B127" s="9" t="s">
        <v>0</v>
      </c>
      <c r="C127" s="5"/>
      <c r="D127" s="5"/>
      <c r="E127" s="5"/>
      <c r="F127" s="5"/>
      <c r="G127" s="5"/>
      <c r="H127" s="10"/>
      <c r="I127" s="36"/>
      <c r="J127" s="8"/>
      <c r="K127" s="8"/>
      <c r="L127" s="8"/>
      <c r="M127" s="8" t="s">
        <v>0</v>
      </c>
      <c r="N127" s="8"/>
      <c r="O127" s="8"/>
      <c r="P127" s="8"/>
      <c r="Q127" s="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ht="12">
      <c r="A128" s="5"/>
      <c r="B128" s="9" t="s">
        <v>0</v>
      </c>
      <c r="C128" s="5"/>
      <c r="D128" s="5"/>
      <c r="E128" s="5"/>
      <c r="F128" s="5"/>
      <c r="G128" s="5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ht="12">
      <c r="A129" s="5"/>
      <c r="B129" s="9" t="s">
        <v>0</v>
      </c>
      <c r="C129" s="5"/>
      <c r="D129" s="5"/>
      <c r="E129" s="5"/>
      <c r="F129" s="5"/>
      <c r="G129" s="5"/>
      <c r="J129" s="8"/>
      <c r="K129" s="8"/>
      <c r="L129" s="8"/>
      <c r="M129" s="8"/>
      <c r="N129" s="8"/>
      <c r="O129" s="8"/>
      <c r="P129" s="8"/>
      <c r="Q129" s="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ht="15">
      <c r="A130" s="5"/>
      <c r="B130" s="9"/>
      <c r="C130" s="5"/>
      <c r="D130" s="5"/>
      <c r="E130" s="5"/>
      <c r="F130" s="5"/>
      <c r="G130" s="5"/>
      <c r="H130" s="44" t="s">
        <v>264</v>
      </c>
      <c r="I130" s="44"/>
      <c r="J130" s="8"/>
      <c r="K130" s="8"/>
      <c r="L130" s="62">
        <f>D11</f>
        <v>42979</v>
      </c>
      <c r="M130" s="8"/>
      <c r="N130" s="8"/>
      <c r="O130" s="8"/>
      <c r="P130" s="8"/>
      <c r="Q130" s="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ht="12.75">
      <c r="A131" s="5"/>
      <c r="B131" s="9" t="s">
        <v>0</v>
      </c>
      <c r="C131" s="5"/>
      <c r="D131" s="5"/>
      <c r="E131" s="5"/>
      <c r="F131" s="5"/>
      <c r="G131" s="5"/>
      <c r="J131" s="11"/>
      <c r="K131" s="11"/>
      <c r="L131" s="8"/>
      <c r="M131" s="8"/>
      <c r="N131" s="8"/>
      <c r="O131" s="8"/>
      <c r="P131" s="8"/>
      <c r="Q131" s="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ht="12.75">
      <c r="A132" s="5"/>
      <c r="B132" s="9" t="s">
        <v>0</v>
      </c>
      <c r="C132" s="5"/>
      <c r="D132" s="5"/>
      <c r="E132" s="5"/>
      <c r="F132" s="5"/>
      <c r="G132" s="5"/>
      <c r="H132" s="45"/>
      <c r="I132" s="45"/>
      <c r="J132" s="8"/>
      <c r="K132" s="8"/>
      <c r="L132" s="8"/>
      <c r="M132" s="12" t="s">
        <v>0</v>
      </c>
      <c r="N132" s="12"/>
      <c r="O132" s="12"/>
      <c r="P132" s="8"/>
      <c r="Q132" s="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ht="12.75">
      <c r="A133" s="5"/>
      <c r="B133" s="9" t="s">
        <v>0</v>
      </c>
      <c r="C133" s="5"/>
      <c r="D133" s="5"/>
      <c r="E133" s="5"/>
      <c r="F133" s="5"/>
      <c r="G133" s="5"/>
      <c r="H133" s="45" t="str">
        <f>A6</f>
        <v>BIANCHI BIANCA</v>
      </c>
      <c r="I133" s="45"/>
      <c r="J133" s="8"/>
      <c r="K133" s="8"/>
      <c r="L133" s="12" t="s">
        <v>0</v>
      </c>
      <c r="M133" s="8"/>
      <c r="N133" s="8"/>
      <c r="O133" s="8"/>
      <c r="P133" s="8"/>
      <c r="Q133" s="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ht="12.75">
      <c r="A134" s="5"/>
      <c r="B134" s="9" t="s">
        <v>0</v>
      </c>
      <c r="C134" s="5"/>
      <c r="D134" s="5"/>
      <c r="E134" s="5"/>
      <c r="F134" s="5"/>
      <c r="G134" s="5"/>
      <c r="H134" s="8" t="str">
        <f>A8</f>
        <v>Insegnante second. superiore</v>
      </c>
      <c r="I134" s="8"/>
      <c r="J134" s="8"/>
      <c r="K134" s="8"/>
      <c r="L134" s="35"/>
      <c r="M134" s="13"/>
      <c r="N134" s="13"/>
      <c r="O134" s="13"/>
      <c r="P134" s="12" t="s">
        <v>0</v>
      </c>
      <c r="Q134" s="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ht="12">
      <c r="A135" s="5"/>
      <c r="B135" s="9" t="s">
        <v>0</v>
      </c>
      <c r="C135" s="5"/>
      <c r="D135" s="5"/>
      <c r="E135" s="5"/>
      <c r="F135" s="5"/>
      <c r="G135" s="5"/>
      <c r="H135" s="8"/>
      <c r="I135" s="8"/>
      <c r="J135" s="8"/>
      <c r="K135" s="8"/>
      <c r="L135" s="13"/>
      <c r="M135" s="13"/>
      <c r="N135" s="13"/>
      <c r="O135" s="13"/>
      <c r="P135" s="8"/>
      <c r="Q135" s="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ht="12.75">
      <c r="A136" s="5"/>
      <c r="B136" s="9" t="s">
        <v>0</v>
      </c>
      <c r="C136" s="5"/>
      <c r="D136" s="5"/>
      <c r="E136" s="5"/>
      <c r="F136" s="5"/>
      <c r="G136" s="5"/>
      <c r="H136" s="8"/>
      <c r="I136" s="8"/>
      <c r="J136" s="8"/>
      <c r="K136" s="8"/>
      <c r="L136" s="12"/>
      <c r="M136" s="43"/>
      <c r="N136" s="43"/>
      <c r="O136" s="43"/>
      <c r="P136" s="35"/>
      <c r="Q136" s="12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ht="12.75">
      <c r="A137" s="5"/>
      <c r="B137" s="9" t="s">
        <v>0</v>
      </c>
      <c r="C137" s="5"/>
      <c r="D137" s="5"/>
      <c r="E137" s="5"/>
      <c r="F137" s="5"/>
      <c r="G137" s="5"/>
      <c r="H137" s="8"/>
      <c r="I137" s="8"/>
      <c r="J137" s="8"/>
      <c r="K137" s="8"/>
      <c r="L137" s="39"/>
      <c r="M137" s="32"/>
      <c r="N137" s="32"/>
      <c r="O137" s="32"/>
      <c r="P137" s="13"/>
      <c r="Q137" s="12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ht="12.75">
      <c r="A138" s="5"/>
      <c r="B138" s="9"/>
      <c r="C138" s="5"/>
      <c r="D138" s="5"/>
      <c r="E138" s="5"/>
      <c r="F138" s="5"/>
      <c r="G138" s="5"/>
      <c r="H138" s="8"/>
      <c r="I138" s="8"/>
      <c r="J138" s="8"/>
      <c r="K138" s="8"/>
      <c r="L138" s="39"/>
      <c r="M138" s="32"/>
      <c r="N138" s="32"/>
      <c r="O138" s="32"/>
      <c r="P138" s="12"/>
      <c r="Q138" s="12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ht="12.75">
      <c r="A139" s="5"/>
      <c r="B139" s="9"/>
      <c r="C139" s="5"/>
      <c r="D139" s="5"/>
      <c r="E139" s="5"/>
      <c r="F139" s="5"/>
      <c r="G139" s="5"/>
      <c r="H139" s="8"/>
      <c r="I139" s="8"/>
      <c r="J139" s="8"/>
      <c r="K139" s="8"/>
      <c r="L139" s="39"/>
      <c r="M139" s="32"/>
      <c r="N139" s="32"/>
      <c r="O139" s="32"/>
      <c r="P139" s="33"/>
      <c r="Q139" s="12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ht="12">
      <c r="A140" s="5"/>
      <c r="B140" s="9" t="s">
        <v>0</v>
      </c>
      <c r="C140" s="5"/>
      <c r="D140" s="5"/>
      <c r="E140" s="5"/>
      <c r="F140" s="5"/>
      <c r="G140" s="5"/>
      <c r="H140" s="8" t="str">
        <f aca="true" t="shared" si="25" ref="H140:H147">H7</f>
        <v>Contribuzione media periodo 1/1/93-31/12/95</v>
      </c>
      <c r="I140" s="8"/>
      <c r="J140" s="8"/>
      <c r="K140" s="8"/>
      <c r="L140" s="39">
        <f>L7</f>
        <v>2176.73</v>
      </c>
      <c r="M140" s="32"/>
      <c r="N140" s="32"/>
      <c r="O140" s="32"/>
      <c r="P140" s="33"/>
      <c r="Q140" s="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ht="12.75">
      <c r="A141" s="5"/>
      <c r="B141" s="9" t="s">
        <v>0</v>
      </c>
      <c r="C141" s="5"/>
      <c r="D141" s="5"/>
      <c r="E141" s="5"/>
      <c r="F141" s="5"/>
      <c r="G141" s="5"/>
      <c r="H141" s="8" t="str">
        <f t="shared" si="25"/>
        <v>Aliquota contributiva media fino al 31/12/92</v>
      </c>
      <c r="I141" s="8"/>
      <c r="J141" s="39">
        <f>J8</f>
        <v>26.67</v>
      </c>
      <c r="K141" s="39">
        <f>K8</f>
        <v>0.2667</v>
      </c>
      <c r="L141" s="39"/>
      <c r="M141" s="32"/>
      <c r="N141" s="32"/>
      <c r="O141" s="32"/>
      <c r="P141" s="33"/>
      <c r="Q141" s="14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1:31" ht="12.75">
      <c r="A142" s="5"/>
      <c r="B142" s="9" t="s">
        <v>0</v>
      </c>
      <c r="C142" s="5"/>
      <c r="D142" s="5"/>
      <c r="E142" s="5"/>
      <c r="F142" s="5"/>
      <c r="G142" s="5"/>
      <c r="H142" s="8" t="str">
        <f t="shared" si="25"/>
        <v>Aliquota contributiva media decennio preced. opzione</v>
      </c>
      <c r="I142" s="8"/>
      <c r="J142" s="39">
        <f>J9</f>
        <v>32.99</v>
      </c>
      <c r="K142" s="39">
        <f>K9</f>
        <v>0.3299</v>
      </c>
      <c r="L142" s="39"/>
      <c r="M142" s="32"/>
      <c r="N142" s="32"/>
      <c r="O142" s="32"/>
      <c r="P142" s="33"/>
      <c r="Q142" s="12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1:31" ht="12.75">
      <c r="A143" s="5"/>
      <c r="B143" s="9"/>
      <c r="C143" s="5"/>
      <c r="D143" s="5"/>
      <c r="E143" s="5"/>
      <c r="F143" s="5"/>
      <c r="G143" s="5"/>
      <c r="H143" s="56" t="str">
        <f t="shared" si="25"/>
        <v>Servizio in giorni dal 1/1/93 al 31/12/95</v>
      </c>
      <c r="I143" s="8"/>
      <c r="J143" s="8"/>
      <c r="K143" s="8">
        <f aca="true" t="shared" si="26" ref="J143:K146">K10</f>
        <v>1080</v>
      </c>
      <c r="L143" s="39"/>
      <c r="M143" s="32"/>
      <c r="N143" s="32"/>
      <c r="O143" s="32"/>
      <c r="P143" s="33"/>
      <c r="Q143" s="12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</row>
    <row r="144" spans="1:31" ht="12.75">
      <c r="A144" s="5"/>
      <c r="B144" s="9" t="s">
        <v>0</v>
      </c>
      <c r="C144" s="5"/>
      <c r="D144" s="5"/>
      <c r="E144" s="5"/>
      <c r="F144" s="5"/>
      <c r="G144" s="5"/>
      <c r="H144" s="56" t="str">
        <f t="shared" si="25"/>
        <v>Servizio in giorni al 31/12/92</v>
      </c>
      <c r="I144" s="8"/>
      <c r="J144" s="8"/>
      <c r="K144" s="8">
        <f t="shared" si="26"/>
        <v>360</v>
      </c>
      <c r="L144" s="39"/>
      <c r="M144" s="32"/>
      <c r="N144" s="32"/>
      <c r="O144" s="32"/>
      <c r="P144" s="33"/>
      <c r="Q144" s="12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  <row r="145" spans="1:31" ht="12.75">
      <c r="A145" s="5"/>
      <c r="B145" s="9" t="s">
        <v>0</v>
      </c>
      <c r="C145" s="5"/>
      <c r="D145" s="5"/>
      <c r="E145" s="5"/>
      <c r="F145" s="5"/>
      <c r="G145" s="5"/>
      <c r="H145" s="8" t="str">
        <f t="shared" si="25"/>
        <v>Coefficiente aliquota media</v>
      </c>
      <c r="I145" s="8"/>
      <c r="J145" s="8">
        <f t="shared" si="26"/>
        <v>0.8084267959987875</v>
      </c>
      <c r="K145" s="8"/>
      <c r="L145" s="39"/>
      <c r="M145" s="32"/>
      <c r="N145" s="32"/>
      <c r="O145" s="32"/>
      <c r="P145" s="33"/>
      <c r="Q145" s="15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1:31" ht="12.75">
      <c r="A146" s="5"/>
      <c r="B146" s="9" t="s">
        <v>0</v>
      </c>
      <c r="C146" s="5"/>
      <c r="D146" s="5"/>
      <c r="E146" s="5"/>
      <c r="F146" s="5"/>
      <c r="G146" s="5"/>
      <c r="H146" s="8" t="str">
        <f t="shared" si="25"/>
        <v>Coefficiente giorni</v>
      </c>
      <c r="I146" s="8"/>
      <c r="J146" s="8">
        <f t="shared" si="26"/>
        <v>1371.0336</v>
      </c>
      <c r="K146" s="8"/>
      <c r="L146" s="39"/>
      <c r="M146" s="32"/>
      <c r="N146" s="32"/>
      <c r="O146" s="32"/>
      <c r="P146" s="33"/>
      <c r="Q146" s="12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ht="12.75">
      <c r="A147" s="5"/>
      <c r="B147" s="9" t="s">
        <v>0</v>
      </c>
      <c r="C147" s="5"/>
      <c r="D147" s="5"/>
      <c r="E147" s="5"/>
      <c r="F147" s="5"/>
      <c r="G147" s="5"/>
      <c r="H147" s="31" t="str">
        <f t="shared" si="25"/>
        <v>Montante fino al 31/12/95</v>
      </c>
      <c r="I147" s="8"/>
      <c r="J147" s="8"/>
      <c r="K147" s="8"/>
      <c r="L147" s="40">
        <f>L14</f>
        <v>8289.916578133332</v>
      </c>
      <c r="M147" s="12"/>
      <c r="N147" s="12"/>
      <c r="O147" s="12"/>
      <c r="P147" s="33"/>
      <c r="Q147" s="15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1:31" ht="12.75">
      <c r="A148" s="5"/>
      <c r="B148" s="9"/>
      <c r="C148" s="5"/>
      <c r="D148" s="5"/>
      <c r="E148" s="5"/>
      <c r="F148" s="5"/>
      <c r="G148" s="5"/>
      <c r="H148" s="8"/>
      <c r="I148" s="8"/>
      <c r="J148" s="8"/>
      <c r="K148" s="8"/>
      <c r="L148" s="39"/>
      <c r="M148" s="32"/>
      <c r="N148" s="32"/>
      <c r="O148" s="32"/>
      <c r="P148" s="33"/>
      <c r="Q148" s="12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  <row r="149" spans="1:31" ht="12.75">
      <c r="A149" s="5"/>
      <c r="B149" s="9"/>
      <c r="C149" s="5"/>
      <c r="D149" s="5"/>
      <c r="E149" s="5"/>
      <c r="F149" s="5"/>
      <c r="G149" s="5"/>
      <c r="H149" s="41" t="str">
        <f>H16</f>
        <v>Montante alla cessazione</v>
      </c>
      <c r="I149" s="41"/>
      <c r="J149" s="41"/>
      <c r="K149" s="41"/>
      <c r="L149" s="318">
        <f>L16</f>
        <v>73904.68657545635</v>
      </c>
      <c r="M149" s="32"/>
      <c r="N149" s="32"/>
      <c r="O149" s="32"/>
      <c r="P149" s="34"/>
      <c r="Q149" s="12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</row>
    <row r="150" spans="1:31" ht="12.75">
      <c r="A150" s="5"/>
      <c r="B150" s="9"/>
      <c r="C150" s="5"/>
      <c r="D150" s="5"/>
      <c r="E150" s="5"/>
      <c r="F150" s="5"/>
      <c r="G150" s="5"/>
      <c r="H150" s="8"/>
      <c r="I150" s="8"/>
      <c r="J150" s="8"/>
      <c r="K150" s="8"/>
      <c r="L150" s="39"/>
      <c r="M150" s="32"/>
      <c r="N150" s="32"/>
      <c r="O150" s="32"/>
      <c r="P150" s="33"/>
      <c r="Q150" s="14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spans="1:31" ht="12.75">
      <c r="A151" s="5"/>
      <c r="B151" s="9" t="s">
        <v>0</v>
      </c>
      <c r="C151" s="5"/>
      <c r="D151" s="5"/>
      <c r="E151" s="5"/>
      <c r="F151" s="5"/>
      <c r="G151" s="5"/>
      <c r="H151" s="56" t="s">
        <v>53</v>
      </c>
      <c r="I151" s="8"/>
      <c r="J151" s="95"/>
      <c r="K151" s="95"/>
      <c r="L151" s="39"/>
      <c r="M151" s="32"/>
      <c r="N151" s="32"/>
      <c r="O151" s="32"/>
      <c r="P151" s="33"/>
      <c r="Q151" s="12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31" ht="12">
      <c r="A152" s="5"/>
      <c r="B152" s="9" t="s">
        <v>0</v>
      </c>
      <c r="C152" s="5"/>
      <c r="D152" s="5"/>
      <c r="E152" s="5"/>
      <c r="F152" s="5"/>
      <c r="G152" s="5"/>
      <c r="H152" s="97" t="s">
        <v>51</v>
      </c>
      <c r="I152" s="8"/>
      <c r="J152" s="8"/>
      <c r="K152" s="95">
        <f>K19</f>
        <v>60</v>
      </c>
      <c r="L152" s="39"/>
      <c r="M152" s="32"/>
      <c r="N152" s="32"/>
      <c r="O152" s="32"/>
      <c r="P152" s="33"/>
      <c r="Q152" s="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  <row r="153" spans="1:31" ht="12.75">
      <c r="A153" s="5"/>
      <c r="B153" s="9" t="s">
        <v>0</v>
      </c>
      <c r="C153" s="5"/>
      <c r="D153" s="5"/>
      <c r="E153" s="5"/>
      <c r="F153" s="5"/>
      <c r="G153" s="5"/>
      <c r="H153" s="97" t="s">
        <v>52</v>
      </c>
      <c r="I153" s="8"/>
      <c r="J153" s="8"/>
      <c r="K153" s="95">
        <f>K20</f>
        <v>2</v>
      </c>
      <c r="L153" s="39"/>
      <c r="M153" s="32"/>
      <c r="N153" s="32"/>
      <c r="O153" s="32"/>
      <c r="P153" s="33"/>
      <c r="Q153" s="15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</row>
    <row r="154" spans="1:31" ht="12.75">
      <c r="A154" s="5"/>
      <c r="B154" s="9" t="s">
        <v>0</v>
      </c>
      <c r="C154" s="5"/>
      <c r="D154" s="5"/>
      <c r="E154" s="5"/>
      <c r="F154" s="5"/>
      <c r="G154" s="5"/>
      <c r="H154" s="8" t="str">
        <f>H21</f>
        <v>Coefficiente di trasformazione</v>
      </c>
      <c r="I154" s="8"/>
      <c r="J154" s="228">
        <f>J21</f>
        <v>4.6107000000000005</v>
      </c>
      <c r="K154" s="95"/>
      <c r="L154" s="39"/>
      <c r="M154" s="32"/>
      <c r="N154" s="32"/>
      <c r="O154" s="32"/>
      <c r="P154" s="33"/>
      <c r="Q154" s="12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  <row r="155" spans="1:31" ht="12.75">
      <c r="A155" s="5"/>
      <c r="B155" s="9" t="s">
        <v>0</v>
      </c>
      <c r="C155" s="5"/>
      <c r="D155" s="5"/>
      <c r="E155" s="5"/>
      <c r="F155" s="5"/>
      <c r="G155" s="5"/>
      <c r="H155" s="31"/>
      <c r="I155" s="8"/>
      <c r="J155" s="8"/>
      <c r="K155" s="8"/>
      <c r="L155" s="40"/>
      <c r="M155" s="12"/>
      <c r="N155" s="12"/>
      <c r="O155" s="12"/>
      <c r="P155" s="33"/>
      <c r="Q155" s="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</row>
    <row r="156" spans="1:31" ht="12.75">
      <c r="A156" s="5"/>
      <c r="B156" s="9" t="s">
        <v>0</v>
      </c>
      <c r="C156" s="5"/>
      <c r="D156" s="5"/>
      <c r="E156" s="5"/>
      <c r="F156" s="5"/>
      <c r="G156" s="5"/>
      <c r="H156" s="41"/>
      <c r="I156" s="41"/>
      <c r="J156" s="41"/>
      <c r="K156" s="41"/>
      <c r="L156" s="318"/>
      <c r="M156" s="32"/>
      <c r="N156" s="32"/>
      <c r="O156" s="32"/>
      <c r="P156" s="33"/>
      <c r="Q156" s="15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</row>
    <row r="157" spans="1:31" ht="12.75">
      <c r="A157" s="5"/>
      <c r="B157" s="9" t="s">
        <v>0</v>
      </c>
      <c r="C157" s="5"/>
      <c r="D157" s="5"/>
      <c r="E157" s="5"/>
      <c r="F157" s="5"/>
      <c r="G157" s="5"/>
      <c r="H157" s="8"/>
      <c r="I157" s="8"/>
      <c r="J157" s="8"/>
      <c r="K157" s="63"/>
      <c r="L157" s="39"/>
      <c r="M157" s="32"/>
      <c r="N157" s="32"/>
      <c r="O157" s="32"/>
      <c r="P157" s="33"/>
      <c r="Q157" s="12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</row>
    <row r="158" spans="1:31" ht="12.75">
      <c r="A158" s="5"/>
      <c r="B158" s="9" t="s">
        <v>0</v>
      </c>
      <c r="C158" s="5"/>
      <c r="D158" s="5"/>
      <c r="E158" s="5"/>
      <c r="F158" s="5"/>
      <c r="G158" s="5"/>
      <c r="H158" s="8"/>
      <c r="I158" s="8"/>
      <c r="J158" s="8"/>
      <c r="K158" s="8"/>
      <c r="L158" s="39"/>
      <c r="M158" s="32"/>
      <c r="N158" s="32"/>
      <c r="O158" s="32"/>
      <c r="P158" s="33"/>
      <c r="Q158" s="14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</row>
    <row r="159" spans="1:31" ht="12.75">
      <c r="A159" s="5"/>
      <c r="B159" s="9" t="s">
        <v>0</v>
      </c>
      <c r="C159" s="5"/>
      <c r="D159" s="5"/>
      <c r="E159" s="5"/>
      <c r="F159" s="5"/>
      <c r="G159" s="5"/>
      <c r="H159" s="8"/>
      <c r="I159" s="8"/>
      <c r="J159" s="8"/>
      <c r="K159" s="8"/>
      <c r="L159" s="39"/>
      <c r="M159" s="32"/>
      <c r="N159" s="32"/>
      <c r="O159" s="32"/>
      <c r="P159" s="33"/>
      <c r="Q159" s="12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</row>
    <row r="160" spans="1:31" ht="12.75">
      <c r="A160" s="5"/>
      <c r="B160" s="9" t="s">
        <v>0</v>
      </c>
      <c r="C160" s="5"/>
      <c r="D160" s="5"/>
      <c r="E160" s="5"/>
      <c r="F160" s="5"/>
      <c r="G160" s="5"/>
      <c r="H160" s="31"/>
      <c r="I160" s="8"/>
      <c r="J160" s="8"/>
      <c r="K160" s="8"/>
      <c r="L160" s="40"/>
      <c r="M160" s="12"/>
      <c r="N160" s="12"/>
      <c r="O160" s="12"/>
      <c r="P160" s="33"/>
      <c r="Q160" s="12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</row>
    <row r="161" spans="1:31" ht="12">
      <c r="A161" s="5"/>
      <c r="B161" s="9" t="s">
        <v>0</v>
      </c>
      <c r="C161" s="5"/>
      <c r="D161" s="5"/>
      <c r="E161" s="5"/>
      <c r="F161" s="5"/>
      <c r="G161" s="5"/>
      <c r="H161" s="8"/>
      <c r="I161" s="8"/>
      <c r="J161" s="8"/>
      <c r="K161" s="8"/>
      <c r="L161" s="39"/>
      <c r="M161" s="32"/>
      <c r="N161" s="32"/>
      <c r="O161" s="32"/>
      <c r="P161" s="33"/>
      <c r="Q161" s="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  <row r="162" spans="1:31" ht="12.75">
      <c r="A162" s="5"/>
      <c r="B162" s="9" t="s">
        <v>0</v>
      </c>
      <c r="C162" s="5"/>
      <c r="D162" s="5"/>
      <c r="E162" s="5"/>
      <c r="F162" s="5"/>
      <c r="G162" s="5"/>
      <c r="H162" s="41" t="str">
        <f>H25</f>
        <v>PENSIONE ANNUA LORDA</v>
      </c>
      <c r="I162" s="41"/>
      <c r="J162" s="41"/>
      <c r="K162" s="41"/>
      <c r="L162" s="42">
        <f>L25</f>
        <v>3145.406200554984</v>
      </c>
      <c r="M162" s="42"/>
      <c r="N162" s="42"/>
      <c r="O162" s="42"/>
      <c r="P162" s="33"/>
      <c r="Q162" s="14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</row>
    <row r="163" spans="1:31" ht="12.75">
      <c r="A163" s="5"/>
      <c r="B163" s="9" t="s">
        <v>0</v>
      </c>
      <c r="C163" s="5"/>
      <c r="D163" s="5"/>
      <c r="E163" s="5"/>
      <c r="F163" s="5"/>
      <c r="G163" s="5"/>
      <c r="H163" s="8" t="str">
        <f>H26</f>
        <v>Pensione mensile lorda</v>
      </c>
      <c r="I163" s="8"/>
      <c r="J163" s="8"/>
      <c r="K163" s="8"/>
      <c r="L163" s="39">
        <f>L26</f>
        <v>262.117183379582</v>
      </c>
      <c r="M163" s="39"/>
      <c r="N163" s="39"/>
      <c r="O163" s="39"/>
      <c r="P163" s="33"/>
      <c r="Q163" s="14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</row>
    <row r="164" spans="1:31" ht="12.75">
      <c r="A164" s="5"/>
      <c r="B164" s="9" t="s">
        <v>0</v>
      </c>
      <c r="C164" s="5"/>
      <c r="D164" s="5"/>
      <c r="E164" s="5"/>
      <c r="F164" s="5"/>
      <c r="G164" s="5"/>
      <c r="H164" s="8"/>
      <c r="I164" s="8"/>
      <c r="J164" s="8"/>
      <c r="K164" s="8"/>
      <c r="L164" s="39">
        <f>L27</f>
        <v>0</v>
      </c>
      <c r="M164" s="39"/>
      <c r="N164" s="39"/>
      <c r="O164" s="39"/>
      <c r="P164" s="33"/>
      <c r="Q164" s="12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</row>
    <row r="165" spans="1:31" ht="12.75">
      <c r="A165" s="5"/>
      <c r="B165" s="9"/>
      <c r="C165" s="5"/>
      <c r="D165" s="5"/>
      <c r="E165" s="5"/>
      <c r="F165" s="5"/>
      <c r="G165" s="5"/>
      <c r="H165" s="8" t="str">
        <f>H31</f>
        <v>Trattenura IRPERF</v>
      </c>
      <c r="I165" s="8"/>
      <c r="J165" s="8"/>
      <c r="K165" s="8"/>
      <c r="L165" s="39">
        <f>L31</f>
        <v>0</v>
      </c>
      <c r="M165" s="39"/>
      <c r="N165" s="39"/>
      <c r="O165" s="39"/>
      <c r="P165" s="33"/>
      <c r="Q165" s="12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</row>
    <row r="166" spans="1:31" ht="12.75">
      <c r="A166" s="5"/>
      <c r="B166" s="9" t="s">
        <v>0</v>
      </c>
      <c r="C166" s="5"/>
      <c r="D166" s="5"/>
      <c r="E166" s="5"/>
      <c r="F166" s="5"/>
      <c r="G166" s="5"/>
      <c r="H166" s="41" t="str">
        <f>H32</f>
        <v>PENSIONE MENSILE NETTA</v>
      </c>
      <c r="I166" s="41"/>
      <c r="J166" s="41"/>
      <c r="K166" s="41"/>
      <c r="L166" s="42">
        <f>L32</f>
        <v>262.117183379582</v>
      </c>
      <c r="M166" s="42"/>
      <c r="N166" s="42"/>
      <c r="O166" s="42"/>
      <c r="P166" s="33"/>
      <c r="Q166" s="14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  <row r="167" spans="1:31" ht="12.75">
      <c r="A167" s="5"/>
      <c r="B167" s="9" t="s">
        <v>0</v>
      </c>
      <c r="C167" s="5"/>
      <c r="D167" s="5"/>
      <c r="E167" s="5"/>
      <c r="F167" s="5"/>
      <c r="G167" s="5"/>
      <c r="H167" s="8"/>
      <c r="I167" s="8"/>
      <c r="J167" s="8"/>
      <c r="K167" s="8"/>
      <c r="L167" s="39"/>
      <c r="M167" s="32"/>
      <c r="N167" s="32"/>
      <c r="O167" s="32"/>
      <c r="P167" s="33"/>
      <c r="Q167" s="14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</row>
    <row r="168" spans="1:31" ht="12.75">
      <c r="A168" s="5"/>
      <c r="B168" s="9" t="s">
        <v>0</v>
      </c>
      <c r="C168" s="5"/>
      <c r="D168" s="5"/>
      <c r="E168" s="5"/>
      <c r="F168" s="5"/>
      <c r="G168" s="5"/>
      <c r="I168" s="8"/>
      <c r="J168" s="8"/>
      <c r="K168" s="8"/>
      <c r="L168" s="39"/>
      <c r="M168" s="32"/>
      <c r="N168" s="32"/>
      <c r="O168" s="32"/>
      <c r="P168" s="33"/>
      <c r="Q168" s="14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</row>
    <row r="169" spans="1:31" ht="12.75">
      <c r="A169" s="5"/>
      <c r="B169" s="9" t="s">
        <v>0</v>
      </c>
      <c r="C169" s="5"/>
      <c r="D169" s="5"/>
      <c r="E169" s="5"/>
      <c r="F169" s="5"/>
      <c r="G169" s="5"/>
      <c r="H169" s="8"/>
      <c r="I169" s="8"/>
      <c r="J169" s="8"/>
      <c r="K169" s="8"/>
      <c r="L169" s="39"/>
      <c r="M169" s="32"/>
      <c r="N169" s="32"/>
      <c r="O169" s="32"/>
      <c r="P169" s="33"/>
      <c r="Q169" s="14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  <row r="170" spans="1:31" ht="12.75">
      <c r="A170" s="5"/>
      <c r="B170" s="9"/>
      <c r="C170" s="5"/>
      <c r="D170" s="5"/>
      <c r="E170" s="5"/>
      <c r="F170" s="5"/>
      <c r="G170" s="5"/>
      <c r="H170" s="8" t="s">
        <v>270</v>
      </c>
      <c r="I170" s="8"/>
      <c r="J170" s="8"/>
      <c r="K170" s="8"/>
      <c r="L170" s="8"/>
      <c r="M170" s="8"/>
      <c r="N170" s="8"/>
      <c r="O170" s="8"/>
      <c r="P170" s="33"/>
      <c r="Q170" s="14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</row>
    <row r="171" spans="1:31" ht="12.75">
      <c r="A171" s="5"/>
      <c r="B171" s="9"/>
      <c r="C171" s="5"/>
      <c r="D171" s="5"/>
      <c r="E171" s="5"/>
      <c r="F171" s="5"/>
      <c r="G171" s="5"/>
      <c r="H171" s="8" t="s">
        <v>265</v>
      </c>
      <c r="I171" s="8"/>
      <c r="J171" s="8"/>
      <c r="K171" s="8"/>
      <c r="L171" s="8"/>
      <c r="M171" s="8"/>
      <c r="N171" s="8"/>
      <c r="O171" s="8"/>
      <c r="P171" s="33"/>
      <c r="Q171" s="14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</row>
    <row r="172" spans="1:31" ht="12">
      <c r="A172" s="5"/>
      <c r="B172" s="9"/>
      <c r="C172" s="5"/>
      <c r="D172" s="5"/>
      <c r="E172" s="5"/>
      <c r="F172" s="5"/>
      <c r="G172" s="5"/>
      <c r="H172" s="17"/>
      <c r="I172" s="8"/>
      <c r="J172" s="8"/>
      <c r="K172" s="8"/>
      <c r="L172" s="8"/>
      <c r="M172" s="8"/>
      <c r="N172" s="8"/>
      <c r="O172" s="8"/>
      <c r="P172" s="8"/>
      <c r="Q172" s="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</row>
    <row r="173" spans="1:31" ht="12.75">
      <c r="A173" s="5"/>
      <c r="B173" s="9"/>
      <c r="C173" s="5"/>
      <c r="D173" s="5"/>
      <c r="E173" s="5"/>
      <c r="F173" s="5"/>
      <c r="G173" s="5"/>
      <c r="H173" s="17"/>
      <c r="I173" s="8"/>
      <c r="J173" s="8"/>
      <c r="K173" s="8"/>
      <c r="L173" s="8"/>
      <c r="M173" s="8"/>
      <c r="N173" s="8"/>
      <c r="O173" s="8"/>
      <c r="P173" s="8"/>
      <c r="Q173" s="12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  <row r="174" spans="1:31" ht="12.75">
      <c r="A174" s="5"/>
      <c r="B174" s="9"/>
      <c r="C174" s="5"/>
      <c r="D174" s="5"/>
      <c r="E174" s="5"/>
      <c r="F174" s="5"/>
      <c r="G174" s="5"/>
      <c r="H174" s="8"/>
      <c r="I174" s="8"/>
      <c r="J174" s="8"/>
      <c r="K174" s="8"/>
      <c r="L174" s="8"/>
      <c r="M174" s="8"/>
      <c r="N174" s="8"/>
      <c r="O174" s="8"/>
      <c r="P174" s="8"/>
      <c r="Q174" s="12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</row>
    <row r="175" spans="1:31" ht="12">
      <c r="A175" s="5"/>
      <c r="B175" s="9"/>
      <c r="C175" s="5"/>
      <c r="D175" s="5"/>
      <c r="E175" s="5"/>
      <c r="F175" s="5"/>
      <c r="G175" s="5"/>
      <c r="H175" s="8"/>
      <c r="I175" s="8"/>
      <c r="J175" s="8"/>
      <c r="K175" s="8"/>
      <c r="L175" s="8"/>
      <c r="M175" s="8"/>
      <c r="N175" s="8"/>
      <c r="O175" s="8"/>
      <c r="P175" s="8"/>
      <c r="Q175" s="16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</row>
    <row r="176" spans="1:31" ht="12.75">
      <c r="A176" s="5"/>
      <c r="B176" s="9"/>
      <c r="C176" s="5"/>
      <c r="D176" s="5"/>
      <c r="E176" s="5"/>
      <c r="F176" s="5"/>
      <c r="G176" s="5"/>
      <c r="H176" s="17">
        <f ca="1">TODAY()</f>
        <v>42743</v>
      </c>
      <c r="I176" s="8"/>
      <c r="J176" s="8"/>
      <c r="K176" s="8"/>
      <c r="L176" s="8"/>
      <c r="M176" s="8"/>
      <c r="N176" s="8"/>
      <c r="O176" s="8"/>
      <c r="P176" s="8"/>
      <c r="Q176" s="12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</row>
    <row r="177" spans="1:31" ht="12.75">
      <c r="A177" s="5"/>
      <c r="B177" s="9"/>
      <c r="C177" s="5"/>
      <c r="D177" s="5"/>
      <c r="E177" s="5"/>
      <c r="F177" s="5"/>
      <c r="G177" s="5"/>
      <c r="H177" s="8"/>
      <c r="I177" s="8"/>
      <c r="J177" s="8"/>
      <c r="K177" s="8"/>
      <c r="L177" s="8"/>
      <c r="M177" s="8"/>
      <c r="N177" s="8"/>
      <c r="O177" s="8"/>
      <c r="P177" s="8"/>
      <c r="Q177" s="12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</row>
    <row r="178" spans="1:31" ht="12.75">
      <c r="A178" s="5"/>
      <c r="B178" s="9"/>
      <c r="C178" s="5"/>
      <c r="D178" s="5"/>
      <c r="E178" s="5"/>
      <c r="F178" s="5"/>
      <c r="G178" s="5"/>
      <c r="H178" s="8"/>
      <c r="I178" s="8"/>
      <c r="J178" s="8"/>
      <c r="K178" s="8"/>
      <c r="L178" s="8"/>
      <c r="M178" s="8"/>
      <c r="N178" s="8"/>
      <c r="O178" s="8"/>
      <c r="P178" s="8"/>
      <c r="Q178" s="12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spans="1:31" ht="12.75">
      <c r="A179" s="5"/>
      <c r="B179" s="9"/>
      <c r="C179" s="5"/>
      <c r="D179" s="5"/>
      <c r="E179" s="5"/>
      <c r="F179" s="5"/>
      <c r="G179" s="5"/>
      <c r="H179" s="8"/>
      <c r="I179" s="8"/>
      <c r="J179" s="8"/>
      <c r="K179" s="8"/>
      <c r="L179" s="8"/>
      <c r="M179" s="8"/>
      <c r="N179" s="8"/>
      <c r="O179" s="8"/>
      <c r="P179" s="8"/>
      <c r="Q179" s="57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</row>
    <row r="180" spans="1:31" ht="12">
      <c r="A180" s="5"/>
      <c r="B180" s="9"/>
      <c r="C180" s="5"/>
      <c r="D180" s="5"/>
      <c r="E180" s="5"/>
      <c r="F180" s="5"/>
      <c r="G180" s="5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</row>
    <row r="181" spans="1:31" ht="12.75">
      <c r="A181" s="5"/>
      <c r="B181" s="9"/>
      <c r="C181" s="5"/>
      <c r="D181" s="5"/>
      <c r="E181" s="5"/>
      <c r="F181" s="5"/>
      <c r="G181" s="5"/>
      <c r="H181" s="8"/>
      <c r="I181" s="8"/>
      <c r="J181" s="8"/>
      <c r="K181" s="8"/>
      <c r="L181" s="8"/>
      <c r="M181" s="8"/>
      <c r="N181" s="8"/>
      <c r="O181" s="8"/>
      <c r="P181" s="8"/>
      <c r="Q181" s="12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  <row r="182" spans="1:31" ht="12.75">
      <c r="A182" s="5"/>
      <c r="B182" s="9"/>
      <c r="C182" s="5"/>
      <c r="D182" s="5"/>
      <c r="E182" s="5"/>
      <c r="F182" s="5"/>
      <c r="G182" s="5"/>
      <c r="H182" s="8"/>
      <c r="I182" s="8"/>
      <c r="J182" s="8"/>
      <c r="K182" s="8"/>
      <c r="L182" s="8"/>
      <c r="M182" s="8"/>
      <c r="N182" s="8"/>
      <c r="O182" s="8"/>
      <c r="P182" s="8"/>
      <c r="Q182" s="12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</row>
    <row r="183" spans="1:31" ht="12.75">
      <c r="A183" s="5"/>
      <c r="B183" s="9"/>
      <c r="C183" s="5"/>
      <c r="D183" s="5"/>
      <c r="E183" s="5"/>
      <c r="F183" s="5"/>
      <c r="G183" s="5"/>
      <c r="H183" s="8"/>
      <c r="I183" s="8"/>
      <c r="J183" s="8"/>
      <c r="K183" s="8"/>
      <c r="L183" s="8"/>
      <c r="M183" s="8"/>
      <c r="N183" s="8"/>
      <c r="O183" s="8"/>
      <c r="P183" s="8"/>
      <c r="Q183" s="12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</row>
    <row r="184" spans="1:31" ht="12.75">
      <c r="A184" s="5"/>
      <c r="B184" s="9"/>
      <c r="C184" s="5"/>
      <c r="D184" s="5"/>
      <c r="E184" s="5"/>
      <c r="F184" s="5"/>
      <c r="G184" s="5"/>
      <c r="H184" s="8"/>
      <c r="I184" s="8"/>
      <c r="J184" s="8"/>
      <c r="K184" s="8"/>
      <c r="L184" s="8"/>
      <c r="M184" s="8"/>
      <c r="N184" s="8"/>
      <c r="O184" s="8"/>
      <c r="P184" s="8"/>
      <c r="Q184" s="12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  <row r="185" spans="1:31" ht="12">
      <c r="A185" s="5"/>
      <c r="B185" s="9"/>
      <c r="C185" s="5"/>
      <c r="D185" s="5"/>
      <c r="E185" s="5"/>
      <c r="F185" s="5"/>
      <c r="G185" s="5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  <row r="186" spans="1:31" ht="12">
      <c r="A186" s="5"/>
      <c r="B186" s="9"/>
      <c r="C186" s="5"/>
      <c r="D186" s="5"/>
      <c r="E186" s="5"/>
      <c r="F186" s="5"/>
      <c r="G186" s="5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</row>
    <row r="187" spans="1:31" ht="12">
      <c r="A187" s="5"/>
      <c r="B187" s="9"/>
      <c r="C187" s="5"/>
      <c r="D187" s="5"/>
      <c r="E187" s="5"/>
      <c r="F187" s="5"/>
      <c r="G187" s="5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</row>
    <row r="188" spans="1:31" ht="12">
      <c r="A188" s="5"/>
      <c r="B188" s="9"/>
      <c r="C188" s="5"/>
      <c r="D188" s="5"/>
      <c r="E188" s="5"/>
      <c r="F188" s="5"/>
      <c r="G188" s="5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</row>
    <row r="189" spans="1:31" ht="12">
      <c r="A189" s="5"/>
      <c r="B189" s="9"/>
      <c r="C189" s="5"/>
      <c r="D189" s="5"/>
      <c r="E189" s="5"/>
      <c r="F189" s="5"/>
      <c r="G189" s="5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</row>
    <row r="190" spans="1:31" ht="12">
      <c r="A190" s="5"/>
      <c r="B190" s="9"/>
      <c r="C190" s="5"/>
      <c r="D190" s="5"/>
      <c r="E190" s="5"/>
      <c r="F190" s="5"/>
      <c r="G190" s="5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</row>
    <row r="191" spans="1:31" ht="12">
      <c r="A191" s="5"/>
      <c r="B191" s="9"/>
      <c r="C191" s="5"/>
      <c r="D191" s="5"/>
      <c r="E191" s="5"/>
      <c r="F191" s="5"/>
      <c r="G191" s="5"/>
      <c r="H191" s="8"/>
      <c r="I191" s="8"/>
      <c r="J191" s="8"/>
      <c r="K191" s="8"/>
      <c r="L191" s="8"/>
      <c r="M191" s="8"/>
      <c r="N191" s="8"/>
      <c r="O191" s="8"/>
      <c r="P191" s="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</row>
    <row r="192" spans="1:31" ht="12">
      <c r="A192" s="5"/>
      <c r="B192" s="9"/>
      <c r="C192" s="5"/>
      <c r="D192" s="5"/>
      <c r="E192" s="5"/>
      <c r="F192" s="5"/>
      <c r="G192" s="5"/>
      <c r="H192" s="8"/>
      <c r="I192" s="8"/>
      <c r="J192" s="8"/>
      <c r="K192" s="8"/>
      <c r="L192" s="8"/>
      <c r="M192" s="8"/>
      <c r="N192" s="8"/>
      <c r="O192" s="8"/>
      <c r="P192" s="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</row>
    <row r="193" spans="1:31" ht="12">
      <c r="A193" s="5"/>
      <c r="B193" s="9"/>
      <c r="C193" s="5"/>
      <c r="D193" s="5"/>
      <c r="E193" s="5"/>
      <c r="F193" s="5"/>
      <c r="G193" s="5"/>
      <c r="H193" s="8"/>
      <c r="I193" s="8"/>
      <c r="J193" s="8"/>
      <c r="K193" s="8"/>
      <c r="L193" s="8"/>
      <c r="M193" s="8"/>
      <c r="N193" s="8"/>
      <c r="O193" s="8"/>
      <c r="P193" s="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</row>
    <row r="194" spans="1:31" ht="12">
      <c r="A194" s="5"/>
      <c r="B194" s="9"/>
      <c r="C194" s="5"/>
      <c r="D194" s="5"/>
      <c r="E194" s="5"/>
      <c r="F194" s="5"/>
      <c r="G194" s="5"/>
      <c r="H194" s="8"/>
      <c r="I194" s="8"/>
      <c r="J194" s="8"/>
      <c r="K194" s="8"/>
      <c r="L194" s="8"/>
      <c r="M194" s="8"/>
      <c r="N194" s="8"/>
      <c r="O194" s="8"/>
      <c r="P194" s="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</row>
    <row r="195" spans="1:31" ht="12">
      <c r="A195" s="5"/>
      <c r="B195" s="9"/>
      <c r="C195" s="5"/>
      <c r="D195" s="5"/>
      <c r="E195" s="5"/>
      <c r="F195" s="5"/>
      <c r="G195" s="5"/>
      <c r="H195" s="8"/>
      <c r="I195" s="8"/>
      <c r="J195" s="8"/>
      <c r="K195" s="8"/>
      <c r="L195" s="8"/>
      <c r="M195" s="8"/>
      <c r="N195" s="8"/>
      <c r="O195" s="8"/>
      <c r="P195" s="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</row>
    <row r="196" spans="1:31" ht="12">
      <c r="A196" s="5"/>
      <c r="B196" s="9"/>
      <c r="C196" s="5"/>
      <c r="D196" s="5"/>
      <c r="E196" s="5"/>
      <c r="F196" s="5"/>
      <c r="G196" s="5"/>
      <c r="H196" s="8"/>
      <c r="I196" s="8"/>
      <c r="J196" s="8"/>
      <c r="K196" s="8"/>
      <c r="L196" s="8"/>
      <c r="M196" s="8"/>
      <c r="N196" s="8"/>
      <c r="O196" s="8"/>
      <c r="P196" s="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</row>
    <row r="197" spans="1:31" ht="12">
      <c r="A197" s="5"/>
      <c r="B197" s="9"/>
      <c r="C197" s="5"/>
      <c r="D197" s="5"/>
      <c r="E197" s="5"/>
      <c r="F197" s="5"/>
      <c r="G197" s="5"/>
      <c r="H197" s="8"/>
      <c r="I197" s="8"/>
      <c r="J197" s="8"/>
      <c r="K197" s="8"/>
      <c r="L197" s="8"/>
      <c r="M197" s="8"/>
      <c r="N197" s="8"/>
      <c r="O197" s="8"/>
      <c r="P197" s="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</row>
    <row r="198" spans="1:31" ht="12">
      <c r="A198" s="5"/>
      <c r="B198" s="9"/>
      <c r="C198" s="5"/>
      <c r="D198" s="5"/>
      <c r="E198" s="5"/>
      <c r="F198" s="5"/>
      <c r="G198" s="5"/>
      <c r="H198" s="8"/>
      <c r="I198" s="8"/>
      <c r="J198" s="8"/>
      <c r="K198" s="8"/>
      <c r="L198" s="8"/>
      <c r="M198" s="8"/>
      <c r="N198" s="8"/>
      <c r="O198" s="8"/>
      <c r="P198" s="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</row>
    <row r="199" spans="1:31" ht="12">
      <c r="A199" s="5"/>
      <c r="B199" s="9"/>
      <c r="C199" s="5"/>
      <c r="D199" s="5"/>
      <c r="E199" s="5"/>
      <c r="F199" s="5"/>
      <c r="G199" s="5"/>
      <c r="H199" s="8"/>
      <c r="I199" s="8"/>
      <c r="J199" s="8"/>
      <c r="K199" s="8"/>
      <c r="L199" s="8"/>
      <c r="M199" s="8"/>
      <c r="N199" s="8"/>
      <c r="O199" s="8"/>
      <c r="P199" s="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</row>
    <row r="200" spans="1:31" ht="12">
      <c r="A200" s="5"/>
      <c r="B200" s="9"/>
      <c r="C200" s="5"/>
      <c r="D200" s="5"/>
      <c r="E200" s="5"/>
      <c r="F200" s="5"/>
      <c r="G200" s="5"/>
      <c r="H200" s="8"/>
      <c r="I200" s="8"/>
      <c r="J200" s="8"/>
      <c r="K200" s="8"/>
      <c r="L200" s="8"/>
      <c r="M200" s="8"/>
      <c r="N200" s="8"/>
      <c r="O200" s="8"/>
      <c r="P200" s="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</row>
    <row r="201" spans="1:31" ht="12">
      <c r="A201" s="5"/>
      <c r="B201" s="9"/>
      <c r="C201" s="5"/>
      <c r="D201" s="5"/>
      <c r="E201" s="5"/>
      <c r="F201" s="5"/>
      <c r="G201" s="5"/>
      <c r="H201" s="8"/>
      <c r="I201" s="8"/>
      <c r="J201" s="8"/>
      <c r="K201" s="8"/>
      <c r="L201" s="8"/>
      <c r="M201" s="8"/>
      <c r="N201" s="8"/>
      <c r="O201" s="8"/>
      <c r="P201" s="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</row>
    <row r="202" spans="1:31" ht="12">
      <c r="A202" s="5"/>
      <c r="B202" s="9"/>
      <c r="C202" s="5"/>
      <c r="D202" s="5"/>
      <c r="E202" s="5"/>
      <c r="F202" s="5"/>
      <c r="G202" s="5"/>
      <c r="P202" s="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</row>
    <row r="203" spans="1:31" ht="12">
      <c r="A203" s="5"/>
      <c r="B203" s="9"/>
      <c r="C203" s="5"/>
      <c r="D203" s="5"/>
      <c r="E203" s="5"/>
      <c r="F203" s="5"/>
      <c r="G203" s="5"/>
      <c r="P203" s="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</row>
    <row r="204" spans="1:31" ht="12">
      <c r="A204" s="5"/>
      <c r="B204" s="9"/>
      <c r="C204" s="5"/>
      <c r="D204" s="5"/>
      <c r="E204" s="5"/>
      <c r="F204" s="5"/>
      <c r="G204" s="5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</row>
    <row r="205" spans="1:31" ht="12">
      <c r="A205" s="5"/>
      <c r="B205" s="9"/>
      <c r="C205" s="5"/>
      <c r="D205" s="5"/>
      <c r="E205" s="5"/>
      <c r="F205" s="5"/>
      <c r="G205" s="5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</row>
    <row r="206" spans="1:31" ht="12">
      <c r="A206" s="5"/>
      <c r="B206" s="9"/>
      <c r="C206" s="5"/>
      <c r="D206" s="5"/>
      <c r="E206" s="5"/>
      <c r="F206" s="5"/>
      <c r="G206" s="5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</row>
    <row r="207" spans="1:31" ht="12">
      <c r="A207" s="5"/>
      <c r="B207" s="9"/>
      <c r="C207" s="5"/>
      <c r="D207" s="5"/>
      <c r="E207" s="5"/>
      <c r="F207" s="5"/>
      <c r="G207" s="5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</row>
    <row r="208" spans="1:31" ht="12">
      <c r="A208" s="5"/>
      <c r="B208" s="9"/>
      <c r="C208" s="5"/>
      <c r="D208" s="5"/>
      <c r="E208" s="5"/>
      <c r="F208" s="5"/>
      <c r="G208" s="5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</row>
    <row r="209" spans="1:31" ht="12">
      <c r="A209" s="5"/>
      <c r="B209" s="9"/>
      <c r="C209" s="5"/>
      <c r="D209" s="5"/>
      <c r="E209" s="5"/>
      <c r="F209" s="5"/>
      <c r="G209" s="5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</row>
    <row r="210" spans="1:31" ht="12">
      <c r="A210" s="5"/>
      <c r="B210" s="9"/>
      <c r="C210" s="5"/>
      <c r="D210" s="5"/>
      <c r="E210" s="5"/>
      <c r="F210" s="5"/>
      <c r="G210" s="5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</row>
    <row r="211" spans="1:31" ht="12">
      <c r="A211" s="5"/>
      <c r="B211" s="9"/>
      <c r="C211" s="5"/>
      <c r="D211" s="5"/>
      <c r="E211" s="5"/>
      <c r="F211" s="5"/>
      <c r="G211" s="5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  <row r="212" spans="1:31" ht="12">
      <c r="A212" s="5"/>
      <c r="B212" s="9"/>
      <c r="C212" s="5"/>
      <c r="D212" s="5"/>
      <c r="E212" s="5"/>
      <c r="F212" s="5"/>
      <c r="G212" s="5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</row>
    <row r="213" spans="1:31" ht="12">
      <c r="A213" s="5"/>
      <c r="B213" s="9"/>
      <c r="C213" s="5"/>
      <c r="D213" s="5"/>
      <c r="E213" s="5"/>
      <c r="F213" s="5"/>
      <c r="G213" s="5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</row>
    <row r="214" spans="1:31" ht="12">
      <c r="A214" s="5"/>
      <c r="B214" s="9"/>
      <c r="C214" s="5"/>
      <c r="D214" s="5"/>
      <c r="E214" s="5"/>
      <c r="F214" s="5"/>
      <c r="G214" s="5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</row>
    <row r="215" spans="1:31" ht="12">
      <c r="A215" s="5"/>
      <c r="B215" s="9"/>
      <c r="C215" s="5"/>
      <c r="D215" s="5"/>
      <c r="E215" s="5"/>
      <c r="F215" s="5"/>
      <c r="G215" s="5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</row>
    <row r="216" spans="1:31" ht="12">
      <c r="A216" s="5"/>
      <c r="B216" s="9"/>
      <c r="C216" s="5"/>
      <c r="D216" s="5"/>
      <c r="E216" s="5"/>
      <c r="F216" s="5"/>
      <c r="G216" s="5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</row>
    <row r="217" spans="1:31" ht="12">
      <c r="A217" s="5"/>
      <c r="B217" s="9"/>
      <c r="C217" s="5"/>
      <c r="D217" s="5"/>
      <c r="E217" s="5"/>
      <c r="F217" s="5"/>
      <c r="G217" s="5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</row>
    <row r="218" spans="1:31" ht="12">
      <c r="A218" s="5"/>
      <c r="B218" s="9"/>
      <c r="C218" s="5"/>
      <c r="D218" s="5"/>
      <c r="E218" s="5"/>
      <c r="F218" s="5"/>
      <c r="G218" s="5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</row>
    <row r="219" spans="1:31" ht="12">
      <c r="A219" s="5"/>
      <c r="B219" s="9"/>
      <c r="C219" s="5"/>
      <c r="D219" s="1"/>
      <c r="E219" s="1"/>
      <c r="F219" s="1"/>
      <c r="G219" s="1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</row>
    <row r="220" spans="1:31" ht="12">
      <c r="A220" s="5"/>
      <c r="B220" s="9"/>
      <c r="C220" s="5"/>
      <c r="D220" s="1"/>
      <c r="E220" s="1"/>
      <c r="F220" s="1"/>
      <c r="G220" s="1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</row>
    <row r="221" spans="1:31" ht="12">
      <c r="A221" s="5"/>
      <c r="B221" s="9"/>
      <c r="C221" s="5"/>
      <c r="D221" s="1"/>
      <c r="E221" s="1"/>
      <c r="F221" s="1"/>
      <c r="G221" s="1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</row>
    <row r="222" spans="1:31" ht="12">
      <c r="A222" s="5"/>
      <c r="B222" s="9"/>
      <c r="C222" s="5"/>
      <c r="D222" s="1"/>
      <c r="E222" s="1"/>
      <c r="F222" s="1"/>
      <c r="G222" s="1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</row>
    <row r="223" spans="1:31" ht="12">
      <c r="A223" s="5"/>
      <c r="B223" s="9"/>
      <c r="C223" s="5"/>
      <c r="D223" s="1"/>
      <c r="E223" s="1"/>
      <c r="F223" s="1"/>
      <c r="G223" s="1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</row>
    <row r="224" spans="1:31" ht="12">
      <c r="A224" s="5"/>
      <c r="B224" s="9"/>
      <c r="C224" s="5"/>
      <c r="D224" s="1"/>
      <c r="E224" s="1"/>
      <c r="F224" s="1"/>
      <c r="G224" s="1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</row>
    <row r="225" spans="1:31" ht="12">
      <c r="A225" s="5"/>
      <c r="B225" s="9"/>
      <c r="C225" s="5"/>
      <c r="D225" s="1"/>
      <c r="E225" s="1"/>
      <c r="F225" s="1"/>
      <c r="G225" s="1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</row>
    <row r="226" spans="1:31" ht="12">
      <c r="A226" s="5"/>
      <c r="B226" s="9"/>
      <c r="C226" s="5"/>
      <c r="D226" s="1"/>
      <c r="E226" s="1"/>
      <c r="F226" s="1"/>
      <c r="G226" s="1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</row>
    <row r="227" spans="1:31" ht="12">
      <c r="A227" s="5"/>
      <c r="B227" s="9"/>
      <c r="C227" s="5"/>
      <c r="D227" s="1"/>
      <c r="E227" s="1"/>
      <c r="F227" s="1"/>
      <c r="G227" s="1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</row>
    <row r="228" spans="1:31" ht="12">
      <c r="A228" s="5"/>
      <c r="B228" s="9"/>
      <c r="C228" s="5"/>
      <c r="D228" s="1"/>
      <c r="E228" s="1"/>
      <c r="F228" s="1"/>
      <c r="G228" s="1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</row>
    <row r="229" spans="1:31" ht="12">
      <c r="A229" s="5"/>
      <c r="B229" s="9"/>
      <c r="C229" s="5"/>
      <c r="D229" s="1"/>
      <c r="E229" s="1"/>
      <c r="F229" s="1"/>
      <c r="G229" s="1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</row>
    <row r="230" spans="1:31" ht="12">
      <c r="A230" s="5"/>
      <c r="B230" s="9"/>
      <c r="C230" s="5"/>
      <c r="D230" s="1"/>
      <c r="E230" s="1"/>
      <c r="F230" s="1"/>
      <c r="G230" s="1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</row>
    <row r="231" spans="1:31" ht="12">
      <c r="A231" s="5"/>
      <c r="B231" s="9"/>
      <c r="C231" s="5"/>
      <c r="D231" s="1"/>
      <c r="E231" s="1"/>
      <c r="F231" s="1"/>
      <c r="G231" s="1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</row>
    <row r="232" spans="1:31" ht="12">
      <c r="A232" s="5"/>
      <c r="B232" s="9"/>
      <c r="C232" s="5"/>
      <c r="D232" s="1"/>
      <c r="E232" s="1"/>
      <c r="F232" s="1"/>
      <c r="G232" s="1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</row>
    <row r="233" spans="1:31" ht="12">
      <c r="A233" s="5"/>
      <c r="B233" s="9"/>
      <c r="C233" s="5"/>
      <c r="D233" s="1"/>
      <c r="E233" s="1"/>
      <c r="F233" s="1"/>
      <c r="G233" s="1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</row>
    <row r="234" spans="1:31" ht="12">
      <c r="A234" s="1"/>
      <c r="B234" s="4"/>
      <c r="C234" s="1"/>
      <c r="D234" s="1"/>
      <c r="E234" s="1"/>
      <c r="F234" s="1"/>
      <c r="G234" s="1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</row>
    <row r="235" spans="1:31" ht="12">
      <c r="A235" s="1"/>
      <c r="B235" s="4"/>
      <c r="C235" s="1"/>
      <c r="D235" s="1"/>
      <c r="E235" s="1"/>
      <c r="F235" s="1"/>
      <c r="G235" s="1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</row>
    <row r="236" spans="1:31" ht="12">
      <c r="A236" s="1"/>
      <c r="B236" s="4"/>
      <c r="C236" s="1"/>
      <c r="D236" s="1"/>
      <c r="E236" s="1"/>
      <c r="F236" s="1"/>
      <c r="G236" s="1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</row>
    <row r="237" spans="1:31" ht="12">
      <c r="A237" s="1"/>
      <c r="B237" s="4"/>
      <c r="C237" s="1"/>
      <c r="D237" s="1"/>
      <c r="E237" s="1"/>
      <c r="F237" s="1"/>
      <c r="G237" s="1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ht="12">
      <c r="A238" s="1"/>
      <c r="B238" s="4"/>
      <c r="C238" s="1"/>
      <c r="D238" s="1"/>
      <c r="E238" s="1"/>
      <c r="F238" s="1"/>
      <c r="G238" s="1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</row>
    <row r="239" spans="1:31" ht="12">
      <c r="A239" s="1"/>
      <c r="B239" s="4"/>
      <c r="C239" s="1"/>
      <c r="D239" s="1"/>
      <c r="E239" s="1"/>
      <c r="F239" s="1"/>
      <c r="G239" s="1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</row>
    <row r="240" spans="1:31" ht="12">
      <c r="A240" s="1"/>
      <c r="B240" s="4"/>
      <c r="C240" s="1"/>
      <c r="D240" s="1"/>
      <c r="E240" s="1"/>
      <c r="F240" s="1"/>
      <c r="G240" s="1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</row>
    <row r="241" spans="1:31" ht="12">
      <c r="A241" s="1"/>
      <c r="B241" s="4"/>
      <c r="C241" s="1"/>
      <c r="D241" s="1"/>
      <c r="E241" s="1"/>
      <c r="F241" s="1"/>
      <c r="G241" s="1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</row>
    <row r="242" spans="1:31" ht="12">
      <c r="A242" s="1"/>
      <c r="B242" s="4"/>
      <c r="C242" s="1"/>
      <c r="D242" s="1"/>
      <c r="E242" s="1"/>
      <c r="F242" s="1"/>
      <c r="G242" s="1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</row>
    <row r="243" spans="1:31" ht="12">
      <c r="A243" s="1"/>
      <c r="B243" s="4"/>
      <c r="C243" s="1"/>
      <c r="D243" s="1"/>
      <c r="E243" s="1"/>
      <c r="F243" s="1"/>
      <c r="G243" s="1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</row>
    <row r="244" spans="1:31" ht="12">
      <c r="A244" s="1"/>
      <c r="B244" s="4"/>
      <c r="C244" s="1"/>
      <c r="D244" s="1"/>
      <c r="E244" s="1"/>
      <c r="F244" s="1"/>
      <c r="G244" s="1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</row>
    <row r="245" spans="1:31" ht="12">
      <c r="A245" s="1"/>
      <c r="B245" s="4"/>
      <c r="C245" s="1"/>
      <c r="D245" s="1"/>
      <c r="E245" s="1"/>
      <c r="F245" s="1"/>
      <c r="G245" s="1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</row>
    <row r="246" spans="1:31" ht="12">
      <c r="A246" s="1"/>
      <c r="B246" s="4"/>
      <c r="C246" s="1"/>
      <c r="D246" s="1"/>
      <c r="E246" s="1"/>
      <c r="F246" s="1"/>
      <c r="G246" s="1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</row>
    <row r="247" spans="1:31" ht="12">
      <c r="A247" s="1"/>
      <c r="B247" s="4"/>
      <c r="C247" s="1"/>
      <c r="D247" s="1"/>
      <c r="E247" s="1"/>
      <c r="F247" s="1"/>
      <c r="G247" s="1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</row>
    <row r="248" spans="1:31" ht="12">
      <c r="A248" s="1"/>
      <c r="B248" s="4"/>
      <c r="C248" s="1"/>
      <c r="D248" s="1"/>
      <c r="E248" s="1"/>
      <c r="F248" s="1"/>
      <c r="G248" s="1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</row>
    <row r="249" spans="1:31" ht="12">
      <c r="A249" s="1"/>
      <c r="B249" s="4"/>
      <c r="C249" s="1"/>
      <c r="D249" s="1"/>
      <c r="E249" s="1"/>
      <c r="F249" s="1"/>
      <c r="G249" s="1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</row>
    <row r="250" spans="1:31" ht="12">
      <c r="A250" s="1"/>
      <c r="B250" s="4"/>
      <c r="C250" s="1"/>
      <c r="D250" s="1"/>
      <c r="E250" s="1"/>
      <c r="F250" s="1"/>
      <c r="G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</row>
    <row r="251" spans="1:31" ht="12">
      <c r="A251" s="1"/>
      <c r="B251" s="4"/>
      <c r="C251" s="1"/>
      <c r="D251" s="1"/>
      <c r="E251" s="1"/>
      <c r="F251" s="1"/>
      <c r="G251" s="1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</row>
    <row r="252" spans="1:31" ht="12">
      <c r="A252" s="1"/>
      <c r="B252" s="4"/>
      <c r="C252" s="1"/>
      <c r="D252" s="1"/>
      <c r="E252" s="1"/>
      <c r="F252" s="1"/>
      <c r="G252" s="1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</row>
    <row r="253" spans="1:31" ht="12">
      <c r="A253" s="1"/>
      <c r="B253" s="4"/>
      <c r="C253" s="1"/>
      <c r="D253" s="1"/>
      <c r="E253" s="1"/>
      <c r="F253" s="1"/>
      <c r="G253" s="1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31" ht="12">
      <c r="A254" s="1"/>
      <c r="B254" s="4"/>
      <c r="C254" s="1"/>
      <c r="D254" s="1"/>
      <c r="E254" s="1"/>
      <c r="F254" s="1"/>
      <c r="G254" s="1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</row>
    <row r="255" spans="1:31" ht="12">
      <c r="A255" s="1"/>
      <c r="B255" s="4"/>
      <c r="C255" s="1"/>
      <c r="D255" s="1"/>
      <c r="E255" s="1"/>
      <c r="F255" s="1"/>
      <c r="G255" s="1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</row>
    <row r="256" spans="1:31" ht="12">
      <c r="A256" s="1"/>
      <c r="B256" s="4"/>
      <c r="C256" s="1"/>
      <c r="D256" s="1"/>
      <c r="E256" s="1"/>
      <c r="F256" s="1"/>
      <c r="G256" s="1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</row>
    <row r="257" spans="1:31" ht="12">
      <c r="A257" s="1"/>
      <c r="B257" s="4"/>
      <c r="C257" s="1"/>
      <c r="D257" s="1"/>
      <c r="E257" s="1"/>
      <c r="F257" s="1"/>
      <c r="G257" s="1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</row>
    <row r="258" spans="1:31" ht="12">
      <c r="A258" s="1"/>
      <c r="B258" s="4"/>
      <c r="C258" s="1"/>
      <c r="D258" s="1"/>
      <c r="E258" s="1"/>
      <c r="F258" s="1"/>
      <c r="G258" s="1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</row>
    <row r="259" spans="1:31" ht="12">
      <c r="A259" s="1"/>
      <c r="B259" s="4"/>
      <c r="C259" s="1"/>
      <c r="D259" s="1"/>
      <c r="E259" s="1"/>
      <c r="F259" s="1"/>
      <c r="G259" s="1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</row>
    <row r="260" spans="1:31" ht="12">
      <c r="A260" s="1"/>
      <c r="B260" s="4"/>
      <c r="C260" s="1"/>
      <c r="D260" s="1"/>
      <c r="E260" s="1"/>
      <c r="F260" s="1"/>
      <c r="G260" s="1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</row>
    <row r="261" spans="1:31" ht="12">
      <c r="A261" s="1"/>
      <c r="B261" s="4"/>
      <c r="C261" s="1"/>
      <c r="D261" s="1"/>
      <c r="E261" s="1"/>
      <c r="F261" s="1"/>
      <c r="G261" s="1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</row>
    <row r="262" spans="1:31" ht="12">
      <c r="A262" s="1"/>
      <c r="B262" s="4"/>
      <c r="C262" s="1"/>
      <c r="D262" s="1"/>
      <c r="E262" s="1"/>
      <c r="F262" s="1"/>
      <c r="G262" s="1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</row>
    <row r="263" spans="1:31" ht="12">
      <c r="A263" s="1"/>
      <c r="B263" s="4"/>
      <c r="C263" s="1"/>
      <c r="D263" s="1"/>
      <c r="E263" s="1"/>
      <c r="F263" s="1"/>
      <c r="G263" s="1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</row>
    <row r="264" spans="1:31" ht="12">
      <c r="A264" s="1"/>
      <c r="B264" s="4"/>
      <c r="C264" s="1"/>
      <c r="D264" s="1"/>
      <c r="E264" s="1"/>
      <c r="F264" s="1"/>
      <c r="G264" s="1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</row>
    <row r="265" spans="1:31" ht="12">
      <c r="A265" s="1"/>
      <c r="B265" s="4"/>
      <c r="C265" s="1"/>
      <c r="D265" s="1"/>
      <c r="E265" s="1"/>
      <c r="F265" s="1"/>
      <c r="G265" s="1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</row>
    <row r="266" spans="1:31" ht="12">
      <c r="A266" s="1"/>
      <c r="B266" s="4"/>
      <c r="C266" s="1"/>
      <c r="D266" s="1"/>
      <c r="E266" s="1"/>
      <c r="F266" s="1"/>
      <c r="G266" s="1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</row>
    <row r="267" spans="1:31" ht="12">
      <c r="A267" s="1"/>
      <c r="B267" s="4"/>
      <c r="C267" s="1"/>
      <c r="D267" s="1"/>
      <c r="E267" s="1"/>
      <c r="F267" s="1"/>
      <c r="G267" s="1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</row>
    <row r="268" spans="1:31" ht="12">
      <c r="A268" s="1"/>
      <c r="B268" s="4"/>
      <c r="C268" s="1"/>
      <c r="D268" s="1"/>
      <c r="E268" s="1"/>
      <c r="F268" s="1"/>
      <c r="G268" s="1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</row>
    <row r="269" spans="1:31" ht="12">
      <c r="A269" s="1"/>
      <c r="B269" s="4"/>
      <c r="C269" s="1"/>
      <c r="D269" s="1"/>
      <c r="E269" s="1"/>
      <c r="F269" s="1"/>
      <c r="G269" s="1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</row>
    <row r="270" spans="1:31" ht="12">
      <c r="A270" s="1"/>
      <c r="B270" s="4"/>
      <c r="C270" s="1"/>
      <c r="D270" s="1"/>
      <c r="E270" s="1"/>
      <c r="F270" s="1"/>
      <c r="G270" s="1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</row>
    <row r="271" spans="1:31" ht="12">
      <c r="A271" s="1"/>
      <c r="B271" s="4"/>
      <c r="C271" s="1"/>
      <c r="D271" s="1"/>
      <c r="E271" s="1"/>
      <c r="F271" s="1"/>
      <c r="G271" s="1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</row>
    <row r="272" spans="1:31" ht="12">
      <c r="A272" s="1"/>
      <c r="B272" s="4"/>
      <c r="C272" s="1"/>
      <c r="D272" s="1"/>
      <c r="E272" s="1"/>
      <c r="F272" s="1"/>
      <c r="G272" s="1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</row>
    <row r="273" spans="1:31" ht="12">
      <c r="A273" s="1"/>
      <c r="B273" s="4"/>
      <c r="C273" s="1"/>
      <c r="D273" s="1"/>
      <c r="E273" s="1"/>
      <c r="F273" s="1"/>
      <c r="G273" s="1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</row>
    <row r="274" spans="1:31" ht="12">
      <c r="A274" s="1"/>
      <c r="B274" s="4"/>
      <c r="C274" s="1"/>
      <c r="D274" s="1"/>
      <c r="E274" s="1"/>
      <c r="F274" s="1"/>
      <c r="G274" s="1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</row>
    <row r="275" spans="1:31" ht="12">
      <c r="A275" s="1"/>
      <c r="B275" s="4"/>
      <c r="C275" s="1"/>
      <c r="D275" s="1"/>
      <c r="E275" s="1"/>
      <c r="F275" s="1"/>
      <c r="G275" s="1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</row>
    <row r="276" spans="1:31" ht="12">
      <c r="A276" s="1"/>
      <c r="B276" s="4"/>
      <c r="C276" s="1"/>
      <c r="D276" s="1"/>
      <c r="E276" s="1"/>
      <c r="F276" s="1"/>
      <c r="G276" s="1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</row>
    <row r="277" spans="1:31" ht="12">
      <c r="A277" s="1"/>
      <c r="B277" s="4"/>
      <c r="C277" s="1"/>
      <c r="D277" s="1"/>
      <c r="E277" s="1"/>
      <c r="F277" s="1"/>
      <c r="G277" s="1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</row>
    <row r="278" spans="1:31" ht="12">
      <c r="A278" s="1"/>
      <c r="B278" s="4"/>
      <c r="C278" s="1"/>
      <c r="D278" s="1"/>
      <c r="E278" s="1"/>
      <c r="F278" s="1"/>
      <c r="G278" s="1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</row>
    <row r="279" spans="1:31" ht="12">
      <c r="A279" s="1"/>
      <c r="B279" s="4"/>
      <c r="C279" s="1"/>
      <c r="D279" s="1"/>
      <c r="E279" s="1"/>
      <c r="F279" s="1"/>
      <c r="G279" s="1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</row>
    <row r="280" spans="1:31" ht="12">
      <c r="A280" s="1"/>
      <c r="B280" s="4"/>
      <c r="C280" s="1"/>
      <c r="D280" s="1"/>
      <c r="E280" s="1"/>
      <c r="F280" s="1"/>
      <c r="G280" s="1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</row>
    <row r="281" spans="1:31" ht="12">
      <c r="A281" s="1"/>
      <c r="B281" s="4"/>
      <c r="C281" s="1"/>
      <c r="D281" s="1"/>
      <c r="E281" s="1"/>
      <c r="F281" s="1"/>
      <c r="G281" s="1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</row>
    <row r="282" spans="1:31" ht="12">
      <c r="A282" s="1"/>
      <c r="B282" s="4"/>
      <c r="C282" s="1"/>
      <c r="D282" s="1"/>
      <c r="E282" s="1"/>
      <c r="F282" s="1"/>
      <c r="G282" s="1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</row>
    <row r="283" spans="1:31" ht="12">
      <c r="A283" s="1"/>
      <c r="B283" s="4"/>
      <c r="C283" s="1"/>
      <c r="D283" s="1"/>
      <c r="E283" s="1"/>
      <c r="F283" s="1"/>
      <c r="G283" s="1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  <row r="284" spans="1:31" ht="12">
      <c r="A284" s="1"/>
      <c r="B284" s="4"/>
      <c r="C284" s="1"/>
      <c r="D284" s="1"/>
      <c r="E284" s="1"/>
      <c r="F284" s="1"/>
      <c r="G284" s="1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</row>
    <row r="285" spans="1:31" ht="12">
      <c r="A285" s="1"/>
      <c r="B285" s="4"/>
      <c r="C285" s="1"/>
      <c r="D285" s="1"/>
      <c r="E285" s="1"/>
      <c r="F285" s="1"/>
      <c r="G285" s="1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</row>
    <row r="286" spans="1:31" ht="12">
      <c r="A286" s="1"/>
      <c r="B286" s="4"/>
      <c r="C286" s="1"/>
      <c r="D286" s="1"/>
      <c r="E286" s="1"/>
      <c r="F286" s="1"/>
      <c r="G286" s="1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</row>
    <row r="287" spans="1:25" ht="12">
      <c r="A287" s="1"/>
      <c r="B287" s="4"/>
      <c r="C287" s="1"/>
      <c r="D287" s="1"/>
      <c r="E287" s="1"/>
      <c r="F287" s="1"/>
      <c r="G287" s="1"/>
      <c r="R287" s="28"/>
      <c r="S287" s="28"/>
      <c r="T287" s="28"/>
      <c r="U287" s="28"/>
      <c r="V287" s="28"/>
      <c r="W287" s="28"/>
      <c r="X287" s="28"/>
      <c r="Y287" s="28"/>
    </row>
    <row r="288" spans="1:25" ht="12">
      <c r="A288" s="1"/>
      <c r="B288" s="4"/>
      <c r="C288" s="1"/>
      <c r="D288" s="1"/>
      <c r="E288" s="1"/>
      <c r="F288" s="1"/>
      <c r="G288" s="1"/>
      <c r="R288" s="28"/>
      <c r="S288" s="28"/>
      <c r="T288" s="28"/>
      <c r="U288" s="28"/>
      <c r="V288" s="28"/>
      <c r="W288" s="28"/>
      <c r="X288" s="28"/>
      <c r="Y288" s="28"/>
    </row>
    <row r="289" spans="1:25" ht="12">
      <c r="A289" s="1"/>
      <c r="B289" s="4"/>
      <c r="C289" s="1"/>
      <c r="D289" s="1"/>
      <c r="E289" s="1"/>
      <c r="F289" s="1"/>
      <c r="G289" s="1"/>
      <c r="R289" s="28"/>
      <c r="S289" s="28"/>
      <c r="T289" s="28"/>
      <c r="U289" s="28"/>
      <c r="V289" s="28"/>
      <c r="W289" s="28"/>
      <c r="X289" s="28"/>
      <c r="Y289" s="28"/>
    </row>
    <row r="290" spans="1:7" ht="12">
      <c r="A290" s="1"/>
      <c r="B290" s="4"/>
      <c r="C290" s="1"/>
      <c r="D290" s="1"/>
      <c r="E290" s="1"/>
      <c r="F290" s="1"/>
      <c r="G290" s="1"/>
    </row>
    <row r="291" spans="1:7" ht="12">
      <c r="A291" s="1"/>
      <c r="B291" s="4"/>
      <c r="C291" s="1"/>
      <c r="D291" s="1"/>
      <c r="E291" s="1"/>
      <c r="F291" s="1"/>
      <c r="G291" s="1"/>
    </row>
    <row r="292" spans="1:7" ht="12">
      <c r="A292" s="1"/>
      <c r="B292" s="4"/>
      <c r="C292" s="1"/>
      <c r="D292" s="1"/>
      <c r="E292" s="1"/>
      <c r="F292" s="1"/>
      <c r="G292" s="1"/>
    </row>
    <row r="293" spans="1:7" ht="12">
      <c r="A293" s="1"/>
      <c r="B293" s="4"/>
      <c r="C293" s="1"/>
      <c r="D293" s="1"/>
      <c r="E293" s="1"/>
      <c r="F293" s="1"/>
      <c r="G293" s="1"/>
    </row>
    <row r="294" spans="1:7" ht="12">
      <c r="A294" s="1"/>
      <c r="B294" s="4"/>
      <c r="C294" s="1"/>
      <c r="D294" s="1"/>
      <c r="E294" s="1"/>
      <c r="F294" s="1"/>
      <c r="G294" s="1"/>
    </row>
    <row r="295" spans="1:7" ht="12">
      <c r="A295" s="1"/>
      <c r="B295" s="4"/>
      <c r="C295" s="1"/>
      <c r="D295" s="1"/>
      <c r="E295" s="1"/>
      <c r="F295" s="1"/>
      <c r="G295" s="1"/>
    </row>
    <row r="296" spans="1:7" ht="12">
      <c r="A296" s="1"/>
      <c r="B296" s="4"/>
      <c r="C296" s="1"/>
      <c r="D296" s="1"/>
      <c r="E296" s="1"/>
      <c r="F296" s="1"/>
      <c r="G296" s="1"/>
    </row>
    <row r="297" spans="1:7" ht="12">
      <c r="A297" s="1"/>
      <c r="B297" s="4"/>
      <c r="C297" s="1"/>
      <c r="D297" s="1"/>
      <c r="E297" s="1"/>
      <c r="F297" s="1"/>
      <c r="G297" s="1"/>
    </row>
    <row r="298" spans="1:7" ht="12">
      <c r="A298" s="1"/>
      <c r="B298" s="4"/>
      <c r="C298" s="1"/>
      <c r="D298" s="1"/>
      <c r="E298" s="1"/>
      <c r="F298" s="1"/>
      <c r="G298" s="1"/>
    </row>
    <row r="299" spans="1:7" ht="12">
      <c r="A299" s="1"/>
      <c r="B299" s="4"/>
      <c r="C299" s="1"/>
      <c r="D299" s="1"/>
      <c r="E299" s="1"/>
      <c r="F299" s="1"/>
      <c r="G299" s="1"/>
    </row>
    <row r="300" spans="1:7" ht="12">
      <c r="A300" s="1"/>
      <c r="B300" s="4"/>
      <c r="C300" s="1"/>
      <c r="D300" s="1"/>
      <c r="E300" s="1"/>
      <c r="F300" s="1"/>
      <c r="G300" s="1"/>
    </row>
    <row r="301" spans="1:7" ht="12">
      <c r="A301" s="1"/>
      <c r="B301" s="4"/>
      <c r="C301" s="1"/>
      <c r="D301" s="1"/>
      <c r="E301" s="1"/>
      <c r="F301" s="1"/>
      <c r="G301" s="1"/>
    </row>
    <row r="302" spans="1:7" ht="12">
      <c r="A302" s="1"/>
      <c r="B302" s="4"/>
      <c r="C302" s="1"/>
      <c r="D302" s="1"/>
      <c r="E302" s="1"/>
      <c r="F302" s="1"/>
      <c r="G302" s="1"/>
    </row>
    <row r="303" spans="1:7" ht="12">
      <c r="A303" s="1"/>
      <c r="B303" s="4"/>
      <c r="C303" s="1"/>
      <c r="D303" s="1"/>
      <c r="E303" s="1"/>
      <c r="F303" s="1"/>
      <c r="G303" s="1"/>
    </row>
    <row r="304" spans="1:7" ht="12">
      <c r="A304" s="1"/>
      <c r="B304" s="4"/>
      <c r="C304" s="1"/>
      <c r="D304" s="1"/>
      <c r="E304" s="1"/>
      <c r="F304" s="1"/>
      <c r="G304" s="1"/>
    </row>
    <row r="305" spans="1:7" ht="12">
      <c r="A305" s="1"/>
      <c r="B305" s="4"/>
      <c r="C305" s="1"/>
      <c r="D305" s="1"/>
      <c r="E305" s="1"/>
      <c r="F305" s="1"/>
      <c r="G305" s="1"/>
    </row>
    <row r="306" spans="1:7" ht="12">
      <c r="A306" s="1"/>
      <c r="B306" s="4"/>
      <c r="C306" s="1"/>
      <c r="D306" s="1"/>
      <c r="E306" s="1"/>
      <c r="F306" s="1"/>
      <c r="G306" s="1"/>
    </row>
    <row r="307" spans="1:7" ht="12">
      <c r="A307" s="1"/>
      <c r="B307" s="4"/>
      <c r="C307" s="1"/>
      <c r="D307" s="1"/>
      <c r="E307" s="1"/>
      <c r="F307" s="1"/>
      <c r="G307" s="1"/>
    </row>
    <row r="308" spans="1:7" ht="12">
      <c r="A308" s="1"/>
      <c r="B308" s="4"/>
      <c r="C308" s="1"/>
      <c r="D308" s="1"/>
      <c r="E308" s="1"/>
      <c r="F308" s="1"/>
      <c r="G308" s="1"/>
    </row>
    <row r="309" spans="1:7" ht="12">
      <c r="A309" s="1"/>
      <c r="B309" s="4"/>
      <c r="C309" s="1"/>
      <c r="D309" s="1"/>
      <c r="E309" s="1"/>
      <c r="F309" s="1"/>
      <c r="G309" s="1"/>
    </row>
    <row r="310" spans="1:7" ht="12">
      <c r="A310" s="1"/>
      <c r="B310" s="4"/>
      <c r="C310" s="1"/>
      <c r="D310" s="1"/>
      <c r="E310" s="1"/>
      <c r="F310" s="1"/>
      <c r="G310" s="1"/>
    </row>
    <row r="311" spans="1:7" ht="12">
      <c r="A311" s="1"/>
      <c r="B311" s="4"/>
      <c r="C311" s="1"/>
      <c r="D311" s="1"/>
      <c r="E311" s="1"/>
      <c r="F311" s="1"/>
      <c r="G311" s="1"/>
    </row>
    <row r="312" spans="1:7" ht="12">
      <c r="A312" s="1"/>
      <c r="B312" s="4"/>
      <c r="C312" s="1"/>
      <c r="D312" s="1"/>
      <c r="E312" s="1"/>
      <c r="F312" s="1"/>
      <c r="G312" s="1"/>
    </row>
    <row r="313" spans="1:7" ht="12">
      <c r="A313" s="1"/>
      <c r="B313" s="4"/>
      <c r="C313" s="1"/>
      <c r="D313" s="1"/>
      <c r="E313" s="1"/>
      <c r="F313" s="1"/>
      <c r="G313" s="1"/>
    </row>
    <row r="314" spans="1:7" ht="12">
      <c r="A314" s="1"/>
      <c r="B314" s="4"/>
      <c r="C314" s="1"/>
      <c r="D314" s="1"/>
      <c r="E314" s="1"/>
      <c r="F314" s="1"/>
      <c r="G314" s="1"/>
    </row>
    <row r="315" spans="1:7" ht="12">
      <c r="A315" s="1"/>
      <c r="B315" s="4"/>
      <c r="C315" s="1"/>
      <c r="D315" s="1"/>
      <c r="E315" s="1"/>
      <c r="F315" s="1"/>
      <c r="G315" s="1"/>
    </row>
    <row r="316" spans="1:7" ht="12">
      <c r="A316" s="1"/>
      <c r="B316" s="4"/>
      <c r="C316" s="1"/>
      <c r="D316" s="1"/>
      <c r="E316" s="1"/>
      <c r="F316" s="1"/>
      <c r="G316" s="1"/>
    </row>
    <row r="317" spans="1:7" ht="12">
      <c r="A317" s="1"/>
      <c r="B317" s="4"/>
      <c r="C317" s="1"/>
      <c r="D317" s="1"/>
      <c r="E317" s="1"/>
      <c r="F317" s="1"/>
      <c r="G317" s="1"/>
    </row>
    <row r="318" spans="1:7" ht="12">
      <c r="A318" s="1"/>
      <c r="B318" s="4"/>
      <c r="C318" s="1"/>
      <c r="D318" s="1"/>
      <c r="E318" s="1"/>
      <c r="F318" s="1"/>
      <c r="G318" s="1"/>
    </row>
    <row r="319" spans="1:7" ht="12">
      <c r="A319" s="1"/>
      <c r="B319" s="4"/>
      <c r="C319" s="1"/>
      <c r="D319" s="1"/>
      <c r="E319" s="1"/>
      <c r="F319" s="1"/>
      <c r="G319" s="1"/>
    </row>
    <row r="320" spans="1:7" ht="12">
      <c r="A320" s="1"/>
      <c r="B320" s="4"/>
      <c r="C320" s="1"/>
      <c r="D320" s="1"/>
      <c r="E320" s="1"/>
      <c r="F320" s="1"/>
      <c r="G320" s="1"/>
    </row>
    <row r="321" spans="1:7" ht="12">
      <c r="A321" s="1"/>
      <c r="B321" s="4"/>
      <c r="C321" s="1"/>
      <c r="D321" s="1"/>
      <c r="E321" s="1"/>
      <c r="F321" s="1"/>
      <c r="G321" s="1"/>
    </row>
    <row r="322" spans="1:7" ht="12">
      <c r="A322" s="1"/>
      <c r="B322" s="4"/>
      <c r="C322" s="1"/>
      <c r="D322" s="1"/>
      <c r="E322" s="1"/>
      <c r="F322" s="1"/>
      <c r="G322" s="1"/>
    </row>
    <row r="323" spans="1:7" ht="12">
      <c r="A323" s="1"/>
      <c r="B323" s="4"/>
      <c r="C323" s="1"/>
      <c r="D323" s="1"/>
      <c r="E323" s="1"/>
      <c r="F323" s="1"/>
      <c r="G323" s="1"/>
    </row>
    <row r="324" spans="1:7" ht="12">
      <c r="A324" s="1"/>
      <c r="B324" s="4"/>
      <c r="C324" s="1"/>
      <c r="D324" s="1"/>
      <c r="E324" s="1"/>
      <c r="F324" s="1"/>
      <c r="G324" s="1"/>
    </row>
    <row r="325" spans="1:7" ht="12">
      <c r="A325" s="1"/>
      <c r="B325" s="4"/>
      <c r="C325" s="1"/>
      <c r="D325" s="1"/>
      <c r="E325" s="1"/>
      <c r="F325" s="1"/>
      <c r="G325" s="1"/>
    </row>
    <row r="326" spans="1:7" ht="12">
      <c r="A326" s="1"/>
      <c r="B326" s="4"/>
      <c r="C326" s="1"/>
      <c r="D326" s="1"/>
      <c r="E326" s="1"/>
      <c r="F326" s="1"/>
      <c r="G326" s="1"/>
    </row>
    <row r="327" spans="1:7" ht="12">
      <c r="A327" s="1"/>
      <c r="B327" s="4"/>
      <c r="C327" s="1"/>
      <c r="D327" s="1"/>
      <c r="E327" s="1"/>
      <c r="F327" s="1"/>
      <c r="G327" s="1"/>
    </row>
    <row r="328" spans="1:7" ht="12">
      <c r="A328" s="1"/>
      <c r="B328" s="4"/>
      <c r="C328" s="1"/>
      <c r="D328" s="1"/>
      <c r="E328" s="1"/>
      <c r="F328" s="1"/>
      <c r="G328" s="1"/>
    </row>
    <row r="329" spans="1:7" ht="12">
      <c r="A329" s="1"/>
      <c r="B329" s="4"/>
      <c r="C329" s="1"/>
      <c r="D329" s="1"/>
      <c r="E329" s="1"/>
      <c r="F329" s="1"/>
      <c r="G329" s="1"/>
    </row>
    <row r="330" spans="1:7" ht="12">
      <c r="A330" s="1"/>
      <c r="B330" s="4"/>
      <c r="C330" s="1"/>
      <c r="D330" s="1"/>
      <c r="E330" s="1"/>
      <c r="F330" s="1"/>
      <c r="G330" s="1"/>
    </row>
    <row r="331" spans="1:7" ht="12">
      <c r="A331" s="1"/>
      <c r="B331" s="4"/>
      <c r="C331" s="1"/>
      <c r="D331" s="1"/>
      <c r="E331" s="1"/>
      <c r="F331" s="1"/>
      <c r="G331" s="1"/>
    </row>
    <row r="332" spans="1:7" ht="12">
      <c r="A332" s="1"/>
      <c r="B332" s="4"/>
      <c r="C332" s="1"/>
      <c r="D332" s="1"/>
      <c r="E332" s="1"/>
      <c r="F332" s="1"/>
      <c r="G332" s="1"/>
    </row>
    <row r="333" spans="1:7" ht="12">
      <c r="A333" s="1"/>
      <c r="B333" s="4"/>
      <c r="C333" s="1"/>
      <c r="D333" s="1"/>
      <c r="E333" s="1"/>
      <c r="F333" s="1"/>
      <c r="G333" s="1"/>
    </row>
    <row r="334" spans="1:7" ht="12">
      <c r="A334" s="1"/>
      <c r="B334" s="4"/>
      <c r="C334" s="1"/>
      <c r="D334" s="1"/>
      <c r="E334" s="1"/>
      <c r="F334" s="1"/>
      <c r="G334" s="1"/>
    </row>
    <row r="335" spans="1:7" ht="12">
      <c r="A335" s="1"/>
      <c r="B335" s="4"/>
      <c r="C335" s="1"/>
      <c r="D335" s="1"/>
      <c r="E335" s="1"/>
      <c r="F335" s="1"/>
      <c r="G335" s="1"/>
    </row>
    <row r="336" spans="1:7" ht="12">
      <c r="A336" s="1"/>
      <c r="B336" s="4"/>
      <c r="C336" s="1"/>
      <c r="D336" s="1"/>
      <c r="E336" s="1"/>
      <c r="F336" s="1"/>
      <c r="G336" s="1"/>
    </row>
    <row r="337" spans="1:7" ht="12">
      <c r="A337" s="1"/>
      <c r="B337" s="4"/>
      <c r="C337" s="1"/>
      <c r="D337" s="1"/>
      <c r="E337" s="1"/>
      <c r="F337" s="1"/>
      <c r="G337" s="1"/>
    </row>
    <row r="338" spans="1:7" ht="12">
      <c r="A338" s="1"/>
      <c r="B338" s="4"/>
      <c r="C338" s="1"/>
      <c r="D338" s="1"/>
      <c r="E338" s="1"/>
      <c r="F338" s="1"/>
      <c r="G338" s="1"/>
    </row>
    <row r="339" spans="1:7" ht="12">
      <c r="A339" s="1"/>
      <c r="B339" s="4"/>
      <c r="C339" s="1"/>
      <c r="D339" s="1"/>
      <c r="E339" s="1"/>
      <c r="F339" s="1"/>
      <c r="G339" s="1"/>
    </row>
    <row r="340" spans="1:7" ht="12">
      <c r="A340" s="1"/>
      <c r="B340" s="4"/>
      <c r="C340" s="1"/>
      <c r="D340" s="1"/>
      <c r="E340" s="1"/>
      <c r="F340" s="1"/>
      <c r="G340" s="1"/>
    </row>
    <row r="341" spans="1:7" ht="12">
      <c r="A341" s="1"/>
      <c r="B341" s="4"/>
      <c r="C341" s="1"/>
      <c r="D341" s="1"/>
      <c r="E341" s="1"/>
      <c r="F341" s="1"/>
      <c r="G341" s="1"/>
    </row>
    <row r="342" spans="1:7" ht="12">
      <c r="A342" s="1"/>
      <c r="B342" s="4"/>
      <c r="C342" s="1"/>
      <c r="D342" s="1"/>
      <c r="E342" s="1"/>
      <c r="F342" s="1"/>
      <c r="G342" s="1"/>
    </row>
    <row r="343" spans="1:7" ht="12">
      <c r="A343" s="1"/>
      <c r="B343" s="4"/>
      <c r="C343" s="1"/>
      <c r="D343" s="1"/>
      <c r="E343" s="1"/>
      <c r="F343" s="1"/>
      <c r="G343" s="1"/>
    </row>
    <row r="344" spans="1:7" ht="12">
      <c r="A344" s="1"/>
      <c r="B344" s="4"/>
      <c r="C344" s="1"/>
      <c r="D344" s="1"/>
      <c r="E344" s="1"/>
      <c r="F344" s="1"/>
      <c r="G344" s="1"/>
    </row>
    <row r="345" spans="1:7" ht="12">
      <c r="A345" s="1"/>
      <c r="B345" s="4"/>
      <c r="C345" s="1"/>
      <c r="D345" s="1"/>
      <c r="E345" s="1"/>
      <c r="F345" s="1"/>
      <c r="G345" s="1"/>
    </row>
    <row r="346" spans="1:7" ht="12">
      <c r="A346" s="1"/>
      <c r="B346" s="4"/>
      <c r="C346" s="1"/>
      <c r="D346" s="1"/>
      <c r="E346" s="1"/>
      <c r="F346" s="1"/>
      <c r="G346" s="1"/>
    </row>
    <row r="347" spans="1:7" ht="12">
      <c r="A347" s="1"/>
      <c r="B347" s="4"/>
      <c r="C347" s="1"/>
      <c r="D347" s="1"/>
      <c r="E347" s="1"/>
      <c r="F347" s="1"/>
      <c r="G347" s="1"/>
    </row>
    <row r="348" spans="1:7" ht="12">
      <c r="A348" s="1"/>
      <c r="B348" s="4"/>
      <c r="C348" s="1"/>
      <c r="D348" s="1"/>
      <c r="E348" s="1"/>
      <c r="F348" s="1"/>
      <c r="G348" s="1"/>
    </row>
    <row r="349" spans="1:7" ht="12">
      <c r="A349" s="1"/>
      <c r="B349" s="4"/>
      <c r="C349" s="1"/>
      <c r="D349" s="1"/>
      <c r="E349" s="1"/>
      <c r="F349" s="1"/>
      <c r="G349" s="1"/>
    </row>
    <row r="350" spans="1:7" ht="12">
      <c r="A350" s="1"/>
      <c r="B350" s="4"/>
      <c r="C350" s="1"/>
      <c r="D350" s="1"/>
      <c r="E350" s="1"/>
      <c r="F350" s="1"/>
      <c r="G350" s="1"/>
    </row>
    <row r="351" spans="1:7" ht="12">
      <c r="A351" s="1"/>
      <c r="B351" s="4"/>
      <c r="C351" s="1"/>
      <c r="D351" s="1"/>
      <c r="E351" s="1"/>
      <c r="F351" s="1"/>
      <c r="G351" s="1"/>
    </row>
    <row r="352" spans="1:7" ht="12">
      <c r="A352" s="1"/>
      <c r="B352" s="4"/>
      <c r="C352" s="1"/>
      <c r="D352" s="1"/>
      <c r="E352" s="1"/>
      <c r="F352" s="1"/>
      <c r="G352" s="1"/>
    </row>
    <row r="353" spans="1:7" ht="12">
      <c r="A353" s="1"/>
      <c r="B353" s="4"/>
      <c r="C353" s="1"/>
      <c r="D353" s="1"/>
      <c r="E353" s="1"/>
      <c r="F353" s="1"/>
      <c r="G353" s="1"/>
    </row>
    <row r="354" spans="1:7" ht="12">
      <c r="A354" s="1"/>
      <c r="B354" s="4"/>
      <c r="C354" s="1"/>
      <c r="D354" s="1"/>
      <c r="E354" s="1"/>
      <c r="F354" s="1"/>
      <c r="G354" s="1"/>
    </row>
    <row r="355" spans="1:7" ht="12">
      <c r="A355" s="1"/>
      <c r="B355" s="4"/>
      <c r="C355" s="1"/>
      <c r="D355" s="1"/>
      <c r="E355" s="1"/>
      <c r="F355" s="1"/>
      <c r="G355" s="1"/>
    </row>
    <row r="356" spans="1:7" ht="12">
      <c r="A356" s="1"/>
      <c r="B356" s="4"/>
      <c r="C356" s="1"/>
      <c r="D356" s="1"/>
      <c r="E356" s="1"/>
      <c r="F356" s="1"/>
      <c r="G356" s="1"/>
    </row>
    <row r="357" spans="1:7" ht="12">
      <c r="A357" s="1"/>
      <c r="B357" s="4"/>
      <c r="C357" s="1"/>
      <c r="D357" s="1"/>
      <c r="E357" s="1"/>
      <c r="F357" s="1"/>
      <c r="G357" s="1"/>
    </row>
    <row r="358" spans="1:7" ht="12">
      <c r="A358" s="1"/>
      <c r="B358" s="4"/>
      <c r="C358" s="1"/>
      <c r="D358" s="1"/>
      <c r="E358" s="1"/>
      <c r="F358" s="1"/>
      <c r="G358" s="1"/>
    </row>
    <row r="359" spans="1:7" ht="12">
      <c r="A359" s="1"/>
      <c r="B359" s="4"/>
      <c r="C359" s="1"/>
      <c r="D359" s="1"/>
      <c r="E359" s="1"/>
      <c r="F359" s="1"/>
      <c r="G359" s="1"/>
    </row>
    <row r="360" spans="1:7" ht="12">
      <c r="A360" s="1"/>
      <c r="B360" s="4"/>
      <c r="C360" s="1"/>
      <c r="D360" s="1"/>
      <c r="E360" s="1"/>
      <c r="F360" s="1"/>
      <c r="G360" s="1"/>
    </row>
    <row r="361" spans="1:7" ht="12">
      <c r="A361" s="1"/>
      <c r="B361" s="4"/>
      <c r="C361" s="1"/>
      <c r="D361" s="1"/>
      <c r="E361" s="1"/>
      <c r="F361" s="1"/>
      <c r="G361" s="1"/>
    </row>
    <row r="362" spans="1:7" ht="12">
      <c r="A362" s="1"/>
      <c r="B362" s="4"/>
      <c r="C362" s="1"/>
      <c r="D362" s="1"/>
      <c r="E362" s="1"/>
      <c r="F362" s="1"/>
      <c r="G362" s="1"/>
    </row>
    <row r="363" spans="1:7" ht="12">
      <c r="A363" s="1"/>
      <c r="B363" s="4"/>
      <c r="C363" s="1"/>
      <c r="D363" s="1"/>
      <c r="E363" s="1"/>
      <c r="F363" s="1"/>
      <c r="G363" s="1"/>
    </row>
    <row r="364" spans="1:7" ht="12">
      <c r="A364" s="1"/>
      <c r="B364" s="4"/>
      <c r="C364" s="1"/>
      <c r="D364" s="1"/>
      <c r="E364" s="1"/>
      <c r="F364" s="1"/>
      <c r="G364" s="1"/>
    </row>
    <row r="365" spans="1:7" ht="12">
      <c r="A365" s="1"/>
      <c r="B365" s="4"/>
      <c r="C365" s="1"/>
      <c r="D365" s="1"/>
      <c r="E365" s="1"/>
      <c r="F365" s="1"/>
      <c r="G365" s="1"/>
    </row>
    <row r="366" spans="1:7" ht="12">
      <c r="A366" s="1"/>
      <c r="B366" s="4"/>
      <c r="C366" s="1"/>
      <c r="D366" s="1"/>
      <c r="E366" s="1"/>
      <c r="F366" s="1"/>
      <c r="G366" s="1"/>
    </row>
    <row r="367" spans="1:7" ht="12">
      <c r="A367" s="1"/>
      <c r="B367" s="4"/>
      <c r="C367" s="1"/>
      <c r="D367" s="1"/>
      <c r="E367" s="1"/>
      <c r="F367" s="1"/>
      <c r="G367" s="1"/>
    </row>
    <row r="368" spans="1:7" ht="12">
      <c r="A368" s="1"/>
      <c r="B368" s="4"/>
      <c r="C368" s="1"/>
      <c r="D368" s="1"/>
      <c r="E368" s="1"/>
      <c r="F368" s="1"/>
      <c r="G368" s="1"/>
    </row>
    <row r="369" spans="1:7" ht="12">
      <c r="A369" s="1"/>
      <c r="B369" s="4"/>
      <c r="C369" s="1"/>
      <c r="D369" s="1"/>
      <c r="E369" s="1"/>
      <c r="F369" s="1"/>
      <c r="G369" s="1"/>
    </row>
    <row r="370" spans="1:7" ht="12">
      <c r="A370" s="1"/>
      <c r="B370" s="4"/>
      <c r="C370" s="1"/>
      <c r="D370" s="1"/>
      <c r="E370" s="1"/>
      <c r="F370" s="1"/>
      <c r="G370" s="1"/>
    </row>
    <row r="371" spans="1:7" ht="12">
      <c r="A371" s="1"/>
      <c r="B371" s="4"/>
      <c r="C371" s="1"/>
      <c r="D371" s="1"/>
      <c r="E371" s="1"/>
      <c r="F371" s="1"/>
      <c r="G371" s="1"/>
    </row>
    <row r="372" spans="1:7" ht="12">
      <c r="A372" s="1"/>
      <c r="B372" s="4"/>
      <c r="C372" s="1"/>
      <c r="D372" s="1"/>
      <c r="E372" s="1"/>
      <c r="F372" s="1"/>
      <c r="G372" s="1"/>
    </row>
    <row r="373" spans="1:7" ht="12">
      <c r="A373" s="1"/>
      <c r="B373" s="4"/>
      <c r="C373" s="1"/>
      <c r="D373" s="1"/>
      <c r="E373" s="1"/>
      <c r="F373" s="1"/>
      <c r="G373" s="1"/>
    </row>
    <row r="374" spans="1:7" ht="12">
      <c r="A374" s="1"/>
      <c r="B374" s="4"/>
      <c r="C374" s="1"/>
      <c r="D374" s="1"/>
      <c r="E374" s="1"/>
      <c r="F374" s="1"/>
      <c r="G374" s="1"/>
    </row>
    <row r="375" spans="1:7" ht="12">
      <c r="A375" s="1"/>
      <c r="B375" s="4"/>
      <c r="C375" s="1"/>
      <c r="D375" s="1"/>
      <c r="E375" s="1"/>
      <c r="F375" s="1"/>
      <c r="G375" s="1"/>
    </row>
    <row r="376" spans="1:7" ht="12">
      <c r="A376" s="1"/>
      <c r="B376" s="4"/>
      <c r="C376" s="1"/>
      <c r="D376" s="1"/>
      <c r="E376" s="1"/>
      <c r="F376" s="1"/>
      <c r="G376" s="1"/>
    </row>
    <row r="377" spans="1:7" ht="12">
      <c r="A377" s="1"/>
      <c r="B377" s="4"/>
      <c r="C377" s="1"/>
      <c r="D377" s="1"/>
      <c r="E377" s="1"/>
      <c r="F377" s="1"/>
      <c r="G377" s="1"/>
    </row>
    <row r="378" spans="1:7" ht="12">
      <c r="A378" s="1"/>
      <c r="B378" s="4"/>
      <c r="C378" s="1"/>
      <c r="D378" s="1"/>
      <c r="E378" s="1"/>
      <c r="F378" s="1"/>
      <c r="G378" s="1"/>
    </row>
    <row r="379" spans="1:7" ht="12">
      <c r="A379" s="1"/>
      <c r="B379" s="4"/>
      <c r="C379" s="1"/>
      <c r="D379" s="1"/>
      <c r="E379" s="1"/>
      <c r="F379" s="1"/>
      <c r="G379" s="1"/>
    </row>
    <row r="380" spans="1:7" ht="12">
      <c r="A380" s="1"/>
      <c r="B380" s="4"/>
      <c r="C380" s="1"/>
      <c r="D380" s="1"/>
      <c r="E380" s="1"/>
      <c r="F380" s="1"/>
      <c r="G380" s="1"/>
    </row>
    <row r="381" spans="1:7" ht="12">
      <c r="A381" s="1"/>
      <c r="B381" s="4"/>
      <c r="C381" s="1"/>
      <c r="D381" s="1"/>
      <c r="E381" s="1"/>
      <c r="F381" s="1"/>
      <c r="G381" s="1"/>
    </row>
    <row r="382" spans="1:7" ht="12">
      <c r="A382" s="1"/>
      <c r="B382" s="4"/>
      <c r="C382" s="1"/>
      <c r="D382" s="1"/>
      <c r="E382" s="1"/>
      <c r="F382" s="1"/>
      <c r="G382" s="1"/>
    </row>
    <row r="383" spans="1:7" ht="12">
      <c r="A383" s="1"/>
      <c r="B383" s="4"/>
      <c r="C383" s="1"/>
      <c r="D383" s="1"/>
      <c r="E383" s="1"/>
      <c r="F383" s="1"/>
      <c r="G383" s="1"/>
    </row>
    <row r="384" spans="1:7" ht="12">
      <c r="A384" s="1"/>
      <c r="B384" s="4"/>
      <c r="C384" s="1"/>
      <c r="D384" s="1"/>
      <c r="E384" s="1"/>
      <c r="F384" s="1"/>
      <c r="G384" s="1"/>
    </row>
    <row r="385" spans="1:7" ht="12">
      <c r="A385" s="1"/>
      <c r="B385" s="4"/>
      <c r="C385" s="1"/>
      <c r="D385" s="1"/>
      <c r="E385" s="1"/>
      <c r="F385" s="1"/>
      <c r="G385" s="1"/>
    </row>
    <row r="386" spans="1:7" ht="12">
      <c r="A386" s="1"/>
      <c r="B386" s="4"/>
      <c r="C386" s="1"/>
      <c r="D386" s="1"/>
      <c r="E386" s="1"/>
      <c r="F386" s="1"/>
      <c r="G386" s="1"/>
    </row>
    <row r="387" spans="1:7" ht="12">
      <c r="A387" s="1"/>
      <c r="B387" s="4"/>
      <c r="C387" s="1"/>
      <c r="D387" s="1"/>
      <c r="E387" s="1"/>
      <c r="F387" s="1"/>
      <c r="G387" s="1"/>
    </row>
    <row r="388" spans="1:7" ht="12">
      <c r="A388" s="1"/>
      <c r="B388" s="4"/>
      <c r="C388" s="1"/>
      <c r="D388" s="1"/>
      <c r="E388" s="1"/>
      <c r="F388" s="1"/>
      <c r="G388" s="1"/>
    </row>
    <row r="389" spans="1:7" ht="12">
      <c r="A389" s="1"/>
      <c r="B389" s="4"/>
      <c r="C389" s="1"/>
      <c r="D389" s="1"/>
      <c r="E389" s="1"/>
      <c r="F389" s="1"/>
      <c r="G389" s="1"/>
    </row>
    <row r="390" spans="1:7" ht="12">
      <c r="A390" s="1"/>
      <c r="B390" s="4"/>
      <c r="C390" s="1"/>
      <c r="D390" s="1"/>
      <c r="E390" s="1"/>
      <c r="F390" s="1"/>
      <c r="G390" s="1"/>
    </row>
    <row r="391" spans="1:3" ht="12">
      <c r="A391" s="1"/>
      <c r="B391" s="4"/>
      <c r="C391" s="1"/>
    </row>
    <row r="392" spans="1:3" ht="12">
      <c r="A392" s="1"/>
      <c r="B392" s="4"/>
      <c r="C392" s="1"/>
    </row>
    <row r="393" spans="1:3" ht="12">
      <c r="A393" s="1"/>
      <c r="B393" s="4"/>
      <c r="C393" s="1"/>
    </row>
    <row r="394" spans="1:3" ht="12">
      <c r="A394" s="1"/>
      <c r="B394" s="4"/>
      <c r="C394" s="1"/>
    </row>
    <row r="395" spans="1:3" ht="12">
      <c r="A395" s="1"/>
      <c r="B395" s="4"/>
      <c r="C395" s="1"/>
    </row>
    <row r="396" spans="1:3" ht="12">
      <c r="A396" s="1"/>
      <c r="B396" s="4"/>
      <c r="C396" s="1"/>
    </row>
    <row r="397" spans="1:3" ht="12">
      <c r="A397" s="1"/>
      <c r="B397" s="4"/>
      <c r="C397" s="1"/>
    </row>
    <row r="398" spans="1:3" ht="12">
      <c r="A398" s="1"/>
      <c r="B398" s="4"/>
      <c r="C398" s="1"/>
    </row>
    <row r="399" spans="1:3" ht="12">
      <c r="A399" s="1"/>
      <c r="B399" s="4"/>
      <c r="C399" s="1"/>
    </row>
    <row r="400" spans="1:3" ht="12">
      <c r="A400" s="1"/>
      <c r="B400" s="4"/>
      <c r="C400" s="1"/>
    </row>
    <row r="401" spans="1:3" ht="12">
      <c r="A401" s="1"/>
      <c r="B401" s="4"/>
      <c r="C401" s="1"/>
    </row>
    <row r="402" spans="1:3" ht="12">
      <c r="A402" s="1"/>
      <c r="B402" s="4"/>
      <c r="C402" s="1"/>
    </row>
    <row r="403" spans="1:3" ht="12">
      <c r="A403" s="1"/>
      <c r="B403" s="4"/>
      <c r="C403" s="1"/>
    </row>
    <row r="404" spans="1:3" ht="12">
      <c r="A404" s="1"/>
      <c r="B404" s="4"/>
      <c r="C404" s="1"/>
    </row>
    <row r="405" spans="1:3" ht="12">
      <c r="A405" s="1"/>
      <c r="B405" s="4"/>
      <c r="C405" s="1"/>
    </row>
  </sheetData>
  <sheetProtection password="D8FD" sheet="1"/>
  <printOptions/>
  <pageMargins left="0.3937007874015748" right="0.3937007874015748" top="0.5905511811023623" bottom="0.5905511811023623" header="0.31496062992125984" footer="0.31496062992125984"/>
  <pageSetup horizontalDpi="300" verticalDpi="300" orientation="portrait" paperSize="9" scale="9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CISL 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Napoli</dc:creator>
  <cp:keywords/>
  <dc:description/>
  <cp:lastModifiedBy>Michele</cp:lastModifiedBy>
  <cp:lastPrinted>2011-05-10T04:07:53Z</cp:lastPrinted>
  <dcterms:created xsi:type="dcterms:W3CDTF">2000-02-02T09:10:13Z</dcterms:created>
  <dcterms:modified xsi:type="dcterms:W3CDTF">2017-01-08T09:24:51Z</dcterms:modified>
  <cp:category/>
  <cp:version/>
  <cp:contentType/>
  <cp:contentStatus/>
</cp:coreProperties>
</file>