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firstSheet="4" activeTab="4"/>
  </bookViews>
  <sheets>
    <sheet name="Foglio1" sheetId="1" state="hidden" r:id="rId1"/>
    <sheet name="statistica" sheetId="2" state="hidden" r:id="rId2"/>
    <sheet name="statistica1" sheetId="3" state="hidden" r:id="rId3"/>
    <sheet name="KR2017" sheetId="4" state="hidden" r:id="rId4"/>
    <sheet name="KREPROV2019M5S" sheetId="5" r:id="rId5"/>
    <sheet name="classifiche" sheetId="6" r:id="rId6"/>
    <sheet name="KRtotale" sheetId="7" r:id="rId7"/>
    <sheet name="f2" sheetId="8" state="hidden" r:id="rId8"/>
    <sheet name="f3" sheetId="9" state="hidden" r:id="rId9"/>
  </sheets>
  <definedNames>
    <definedName name="_xlnm.Print_Area" localSheetId="5">'classifiche'!$A$1:$M$32</definedName>
    <definedName name="_xlnm.Print_Area" localSheetId="3">'KR2017'!$A$1:$O$34</definedName>
    <definedName name="_xlnm.Print_Area" localSheetId="4">'KREPROV2019M5S'!$A$1:$Q$38</definedName>
    <definedName name="_xlnm.Print_Area" localSheetId="6">'KRtotale'!$A$1:$L$20</definedName>
    <definedName name="_xlnm.Print_Area" localSheetId="1">'statistica'!$A$1:$N$35</definedName>
    <definedName name="_xlnm.Print_Area" localSheetId="2">'statistica1'!$A$1:$N$29</definedName>
  </definedNames>
  <calcPr fullCalcOnLoad="1"/>
</workbook>
</file>

<file path=xl/sharedStrings.xml><?xml version="1.0" encoding="utf-8"?>
<sst xmlns="http://schemas.openxmlformats.org/spreadsheetml/2006/main" count="480" uniqueCount="213">
  <si>
    <t>Piemonte</t>
  </si>
  <si>
    <t>voti si</t>
  </si>
  <si>
    <t>voti no</t>
  </si>
  <si>
    <t>% no</t>
  </si>
  <si>
    <t>% si</t>
  </si>
  <si>
    <t>Regione</t>
  </si>
  <si>
    <t>Valle D'Aosta</t>
  </si>
  <si>
    <t>Lombardia</t>
  </si>
  <si>
    <t>Veneto</t>
  </si>
  <si>
    <t>totale</t>
  </si>
  <si>
    <t>%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</si>
  <si>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</si>
  <si>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</si>
  <si>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</si>
  <si>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</si>
  <si>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</si>
  <si>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</si>
  <si>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</si>
  <si>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</si>
  <si>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</si>
  <si>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</si>
  <si>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</si>
  <si>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elettori</t>
  </si>
  <si>
    <t>Sicilia</t>
  </si>
  <si>
    <t>Sardegna</t>
  </si>
  <si>
    <t>Elettori</t>
  </si>
  <si>
    <t>totale Italia</t>
  </si>
  <si>
    <t>totale Estero</t>
  </si>
  <si>
    <t>totale Italia+Estero</t>
  </si>
  <si>
    <t>votanti</t>
  </si>
  <si>
    <t>schede</t>
  </si>
  <si>
    <t>bianche</t>
  </si>
  <si>
    <t>nulle</t>
  </si>
  <si>
    <t>voti</t>
  </si>
  <si>
    <t>SI</t>
  </si>
  <si>
    <t>NO</t>
  </si>
  <si>
    <t>schede non</t>
  </si>
  <si>
    <t>assegnate</t>
  </si>
  <si>
    <t>non assegnate</t>
  </si>
  <si>
    <t>Abitanti</t>
  </si>
  <si>
    <t>affluenza</t>
  </si>
  <si>
    <t>sez</t>
  </si>
  <si>
    <t>% SI</t>
  </si>
  <si>
    <t>% NO</t>
  </si>
  <si>
    <t>Emilia Romagna</t>
  </si>
  <si>
    <t>Friuli Venezia Giulia</t>
  </si>
  <si>
    <t>Trentino Alto Adige</t>
  </si>
  <si>
    <t>numero</t>
  </si>
  <si>
    <t xml:space="preserve"> SI</t>
  </si>
  <si>
    <t xml:space="preserve"> NO</t>
  </si>
  <si>
    <t>Filtra</t>
  </si>
  <si>
    <t xml:space="preserve"> la Regione</t>
  </si>
  <si>
    <t>contestate e</t>
  </si>
  <si>
    <t>VOTO SI</t>
  </si>
  <si>
    <t>VOTO NO</t>
  </si>
  <si>
    <t>BIANCHE</t>
  </si>
  <si>
    <t>NULLE</t>
  </si>
  <si>
    <t>NON ASSEGN</t>
  </si>
  <si>
    <t>tot votanti</t>
  </si>
  <si>
    <t>non</t>
  </si>
  <si>
    <t xml:space="preserve">non </t>
  </si>
  <si>
    <t>non votanti</t>
  </si>
  <si>
    <t>differenza</t>
  </si>
  <si>
    <t>votanti+non votanti</t>
  </si>
  <si>
    <t>% si + no</t>
  </si>
  <si>
    <t>Quadratura percentuali</t>
  </si>
  <si>
    <t>media</t>
  </si>
  <si>
    <t xml:space="preserve"> votanti</t>
  </si>
  <si>
    <t>b35*d29/100</t>
  </si>
  <si>
    <t>m29</t>
  </si>
  <si>
    <t>media armonica</t>
  </si>
  <si>
    <t>C29</t>
  </si>
  <si>
    <t>M29+N29</t>
  </si>
  <si>
    <t>Quadratura Elettori-votanti e non votanti - Regione  per  Regione- totale Italia-totale Estero- totale Italia + Estero</t>
  </si>
  <si>
    <t>Petilia Policastro</t>
  </si>
  <si>
    <t>Comune</t>
  </si>
  <si>
    <t>% affluenza</t>
  </si>
  <si>
    <t>num sez</t>
  </si>
  <si>
    <t>voti Si</t>
  </si>
  <si>
    <t>voti No</t>
  </si>
  <si>
    <t>Statistica referendum si e no 04/12/2016 con visualizzazione Regione per Regione, Estero, Estero + Italia</t>
  </si>
  <si>
    <t>% non votanti</t>
  </si>
  <si>
    <t>Crotone</t>
  </si>
  <si>
    <t>Cirò Marina</t>
  </si>
  <si>
    <t>Cutro</t>
  </si>
  <si>
    <t>Strongoli</t>
  </si>
  <si>
    <t>Mesoraca</t>
  </si>
  <si>
    <t>Cotronei</t>
  </si>
  <si>
    <t>Melissa</t>
  </si>
  <si>
    <t>Roccabernarda</t>
  </si>
  <si>
    <t>Scandale</t>
  </si>
  <si>
    <t>Crucoli</t>
  </si>
  <si>
    <t>Casabona</t>
  </si>
  <si>
    <t>San Mauro Marchesato</t>
  </si>
  <si>
    <t>Santa Severina</t>
  </si>
  <si>
    <t>Verzino</t>
  </si>
  <si>
    <t>Caccuri</t>
  </si>
  <si>
    <t>Savelli</t>
  </si>
  <si>
    <t>Pallagorio</t>
  </si>
  <si>
    <t>Cerenzia</t>
  </si>
  <si>
    <t>Castelsilano</t>
  </si>
  <si>
    <t>Umbriatico</t>
  </si>
  <si>
    <t>Carfizzi</t>
  </si>
  <si>
    <t>abitanti</t>
  </si>
  <si>
    <t>superf Km2</t>
  </si>
  <si>
    <t>altit. M s L m</t>
  </si>
  <si>
    <t>Istat 01/01/2016</t>
  </si>
  <si>
    <t>Isola Di Capo Rizzuto</t>
  </si>
  <si>
    <t>Rocca Di Neto</t>
  </si>
  <si>
    <t>Belvedere Di Spinello</t>
  </si>
  <si>
    <t>San Nicola Dell'Alto</t>
  </si>
  <si>
    <t xml:space="preserve">Cirò </t>
  </si>
  <si>
    <t>²</t>
  </si>
  <si>
    <t>densita  abit km²</t>
  </si>
  <si>
    <t>alt+0178</t>
  </si>
  <si>
    <t>Abitanti Istat</t>
  </si>
  <si>
    <t>Comuni 27</t>
  </si>
  <si>
    <t xml:space="preserve">BELVEDERE DI SPINELLO                                                                               </t>
  </si>
  <si>
    <t xml:space="preserve">CACCURI                                                                                             </t>
  </si>
  <si>
    <t xml:space="preserve">CARFIZZI                                                                                            </t>
  </si>
  <si>
    <t xml:space="preserve">CASABONA                                                                                            </t>
  </si>
  <si>
    <t xml:space="preserve">CASTELSILANO                                                                                        </t>
  </si>
  <si>
    <t xml:space="preserve">CERENZIA                                                                                            </t>
  </si>
  <si>
    <t xml:space="preserve">CIRO'                                                                                               </t>
  </si>
  <si>
    <t xml:space="preserve">CIRO' MARINA                                                                                        </t>
  </si>
  <si>
    <t xml:space="preserve">COTRONEI                                                                                            </t>
  </si>
  <si>
    <t xml:space="preserve">CROTONE                                                                                             </t>
  </si>
  <si>
    <t xml:space="preserve">CRUCOLI                                                                                             </t>
  </si>
  <si>
    <t xml:space="preserve">CUTRO                                                                                               </t>
  </si>
  <si>
    <t xml:space="preserve">ISOLA DI CAPO RIZZUTO                                                                               </t>
  </si>
  <si>
    <t xml:space="preserve">MELISSA                                                                                             </t>
  </si>
  <si>
    <t xml:space="preserve">MESORACA                                                                                            </t>
  </si>
  <si>
    <t xml:space="preserve">PALLAGORIO                                                                                          </t>
  </si>
  <si>
    <t xml:space="preserve">PETILIA POLICASTRO                                                                                  </t>
  </si>
  <si>
    <t xml:space="preserve">ROCCA DI NETO                                                                                       </t>
  </si>
  <si>
    <t xml:space="preserve">ROCCABERNARDA                                                                                       </t>
  </si>
  <si>
    <t xml:space="preserve">SAN MAURO MARCHESATO                                                                                </t>
  </si>
  <si>
    <t xml:space="preserve">SAN NICOLA DELL'ALTO                                                                                </t>
  </si>
  <si>
    <t xml:space="preserve">SANTA SEVERINA                                                                                      </t>
  </si>
  <si>
    <t xml:space="preserve">SAVELLI                                                                                             </t>
  </si>
  <si>
    <t xml:space="preserve">SCANDALE                                                                                            </t>
  </si>
  <si>
    <t xml:space="preserve">STRONGOLI                                                                                           </t>
  </si>
  <si>
    <t xml:space="preserve">UMBRIATICO                                                                                          </t>
  </si>
  <si>
    <t xml:space="preserve">VERZINO                                                                                             </t>
  </si>
  <si>
    <t>DESCCOMUNE</t>
  </si>
  <si>
    <t>VOTANTI</t>
  </si>
  <si>
    <t>elettori M</t>
  </si>
  <si>
    <t>votanti M</t>
  </si>
  <si>
    <t>voti SI</t>
  </si>
  <si>
    <t>Voti NO</t>
  </si>
  <si>
    <t>non validi</t>
  </si>
  <si>
    <t>contestati</t>
  </si>
  <si>
    <t>Istat  2016</t>
  </si>
  <si>
    <t>elettori F</t>
  </si>
  <si>
    <t>si</t>
  </si>
  <si>
    <t xml:space="preserve">totale </t>
  </si>
  <si>
    <t>Abitanti 2016</t>
  </si>
  <si>
    <t>Statistica  referendum  Regioni d'Italia si e no 04/12/2016</t>
  </si>
  <si>
    <t>Renzi</t>
  </si>
  <si>
    <t>Orlando</t>
  </si>
  <si>
    <t>Voti</t>
  </si>
  <si>
    <t>Emiliano</t>
  </si>
  <si>
    <t xml:space="preserve">voti </t>
  </si>
  <si>
    <t>validi</t>
  </si>
  <si>
    <t>Cirò</t>
  </si>
  <si>
    <t>Statistica  Primarie PD Crotone e Provincia 30/04/2017</t>
  </si>
  <si>
    <t>Crotone e Papanice</t>
  </si>
  <si>
    <t>Belvedere Di Spinelo</t>
  </si>
  <si>
    <t>Totale</t>
  </si>
  <si>
    <t xml:space="preserve">Affluenza </t>
  </si>
  <si>
    <t xml:space="preserve">Elettori </t>
  </si>
  <si>
    <t>V validi</t>
  </si>
  <si>
    <t>Filtra il Comune</t>
  </si>
  <si>
    <t>M5S</t>
  </si>
  <si>
    <t>voti validi</t>
  </si>
  <si>
    <t>su voti validi</t>
  </si>
  <si>
    <t>voti M5S</t>
  </si>
  <si>
    <t>più non votanti</t>
  </si>
  <si>
    <t>Statistica Europee M5S Crotone e Provincia 26/05/2019</t>
  </si>
  <si>
    <t>Quadratura Elettori</t>
  </si>
  <si>
    <t>posto</t>
  </si>
  <si>
    <t>N</t>
  </si>
  <si>
    <t xml:space="preserve">calcolo </t>
  </si>
  <si>
    <t xml:space="preserve"> non votanti</t>
  </si>
  <si>
    <t>vot+non vot</t>
  </si>
  <si>
    <t>quadratura</t>
  </si>
  <si>
    <t>Classifica ordinata percentuali schede nulle</t>
  </si>
  <si>
    <t>Classifica ordinata dei votanti sul n Elettori</t>
  </si>
  <si>
    <t>Statistica classifiche  Europee  Crotone e Provincia 26/05/2019</t>
  </si>
  <si>
    <t>Classifica ordinata  percentuali su voti validi</t>
  </si>
  <si>
    <r>
      <t xml:space="preserve">voti validi </t>
    </r>
    <r>
      <rPr>
        <b/>
        <sz val="10"/>
        <color indexed="12"/>
        <rFont val="Arial"/>
        <family val="2"/>
      </rPr>
      <t>M5S</t>
    </r>
  </si>
  <si>
    <r>
      <t xml:space="preserve">% </t>
    </r>
    <r>
      <rPr>
        <b/>
        <sz val="10"/>
        <color indexed="12"/>
        <rFont val="Arial"/>
        <family val="2"/>
      </rPr>
      <t>M5S</t>
    </r>
  </si>
  <si>
    <t>schede nulle</t>
  </si>
  <si>
    <t>-</t>
  </si>
  <si>
    <t>Lega Salvini Premier</t>
  </si>
  <si>
    <t>Partito Democratico</t>
  </si>
  <si>
    <t>Movimento 5 Stelle</t>
  </si>
  <si>
    <t>Forza Italia</t>
  </si>
  <si>
    <t>Fratelli D'Italia</t>
  </si>
  <si>
    <t>Europa-Italia in Comune-PDE Italia</t>
  </si>
  <si>
    <t>Europa Verde</t>
  </si>
  <si>
    <t>La Sinistra</t>
  </si>
  <si>
    <t>Partito Comunista</t>
  </si>
  <si>
    <t>Partito Animalista</t>
  </si>
  <si>
    <t>Popolo della Famiglia-Alternativa Popolare</t>
  </si>
  <si>
    <t>Casapound Italia-Destre Unite</t>
  </si>
  <si>
    <t>Popolari per l'Italia</t>
  </si>
  <si>
    <t>Partito Pirata</t>
  </si>
  <si>
    <t>Forza Nuova</t>
  </si>
  <si>
    <t>% voti</t>
  </si>
  <si>
    <t>Crotone e Provincia</t>
  </si>
  <si>
    <t>voti non</t>
  </si>
  <si>
    <t>Statistica Partiti Europee 26/05/2019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</si>
</sst>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#,##0_ ;[Red]\-#,##0\ 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%"/>
  </numFmts>
  <fonts count="4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61"/>
      <name val="Calibri"/>
      <family val="2"/>
    </font>
    <font>
      <b/>
      <sz val="11"/>
      <name val="Calibri"/>
      <family val="2"/>
    </font>
    <font>
      <sz val="2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24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19" fillId="24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Alignment="1" applyProtection="1">
      <alignment horizontal="center"/>
      <protection locked="0"/>
    </xf>
    <xf numFmtId="4" fontId="19" fillId="24" borderId="0" xfId="0" applyNumberFormat="1" applyFont="1" applyFill="1" applyAlignment="1" applyProtection="1">
      <alignment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/>
      <protection locked="0"/>
    </xf>
    <xf numFmtId="0" fontId="19" fillId="24" borderId="0" xfId="0" applyFont="1" applyFill="1" applyAlignment="1" applyProtection="1">
      <alignment horizontal="center" vertical="center"/>
      <protection locked="0"/>
    </xf>
    <xf numFmtId="3" fontId="22" fillId="24" borderId="0" xfId="0" applyNumberFormat="1" applyFont="1" applyFill="1" applyAlignment="1" applyProtection="1">
      <alignment horizontal="center" vertical="center"/>
      <protection hidden="1"/>
    </xf>
    <xf numFmtId="0" fontId="19" fillId="24" borderId="0" xfId="0" applyFont="1" applyFill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4" fillId="24" borderId="11" xfId="0" applyFont="1" applyFill="1" applyBorder="1" applyAlignment="1" applyProtection="1">
      <alignment horizontal="center" vertical="center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3" fontId="19" fillId="24" borderId="0" xfId="0" applyNumberFormat="1" applyFont="1" applyFill="1" applyAlignment="1" applyProtection="1">
      <alignment/>
      <protection hidden="1"/>
    </xf>
    <xf numFmtId="0" fontId="24" fillId="24" borderId="10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19" fillId="24" borderId="0" xfId="0" applyFont="1" applyFill="1" applyAlignment="1" applyProtection="1">
      <alignment horizontal="center"/>
      <protection hidden="1"/>
    </xf>
    <xf numFmtId="0" fontId="22" fillId="24" borderId="14" xfId="0" applyFont="1" applyFill="1" applyBorder="1" applyAlignment="1" applyProtection="1">
      <alignment horizontal="center" vertical="center"/>
      <protection hidden="1"/>
    </xf>
    <xf numFmtId="3" fontId="22" fillId="24" borderId="14" xfId="0" applyNumberFormat="1" applyFont="1" applyFill="1" applyBorder="1" applyAlignment="1" applyProtection="1">
      <alignment horizontal="center" vertical="center"/>
      <protection hidden="1"/>
    </xf>
    <xf numFmtId="4" fontId="22" fillId="24" borderId="14" xfId="0" applyNumberFormat="1" applyFont="1" applyFill="1" applyBorder="1" applyAlignment="1" applyProtection="1">
      <alignment horizontal="center" vertical="center"/>
      <protection hidden="1"/>
    </xf>
    <xf numFmtId="167" fontId="22" fillId="24" borderId="14" xfId="0" applyNumberFormat="1" applyFont="1" applyFill="1" applyBorder="1" applyAlignment="1" applyProtection="1">
      <alignment horizontal="center"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3" fontId="22" fillId="24" borderId="11" xfId="0" applyNumberFormat="1" applyFont="1" applyFill="1" applyBorder="1" applyAlignment="1" applyProtection="1">
      <alignment horizontal="center" vertical="center"/>
      <protection hidden="1"/>
    </xf>
    <xf numFmtId="4" fontId="22" fillId="24" borderId="11" xfId="0" applyNumberFormat="1" applyFont="1" applyFill="1" applyBorder="1" applyAlignment="1" applyProtection="1">
      <alignment horizontal="center" vertical="center"/>
      <protection hidden="1"/>
    </xf>
    <xf numFmtId="0" fontId="24" fillId="10" borderId="14" xfId="0" applyFont="1" applyFill="1" applyBorder="1" applyAlignment="1" applyProtection="1">
      <alignment horizontal="center" vertical="center"/>
      <protection hidden="1"/>
    </xf>
    <xf numFmtId="3" fontId="24" fillId="10" borderId="14" xfId="0" applyNumberFormat="1" applyFont="1" applyFill="1" applyBorder="1" applyAlignment="1" applyProtection="1">
      <alignment horizontal="center" vertical="center"/>
      <protection hidden="1"/>
    </xf>
    <xf numFmtId="4" fontId="24" fillId="10" borderId="14" xfId="0" applyNumberFormat="1" applyFont="1" applyFill="1" applyBorder="1" applyAlignment="1" applyProtection="1">
      <alignment horizontal="center" vertical="center"/>
      <protection hidden="1"/>
    </xf>
    <xf numFmtId="4" fontId="19" fillId="24" borderId="0" xfId="0" applyNumberFormat="1" applyFont="1" applyFill="1" applyAlignment="1" applyProtection="1">
      <alignment/>
      <protection hidden="1"/>
    </xf>
    <xf numFmtId="0" fontId="24" fillId="22" borderId="14" xfId="0" applyFont="1" applyFill="1" applyBorder="1" applyAlignment="1" applyProtection="1">
      <alignment horizontal="center" vertical="center"/>
      <protection hidden="1"/>
    </xf>
    <xf numFmtId="3" fontId="24" fillId="22" borderId="14" xfId="0" applyNumberFormat="1" applyFont="1" applyFill="1" applyBorder="1" applyAlignment="1" applyProtection="1">
      <alignment horizontal="center" vertical="center"/>
      <protection hidden="1"/>
    </xf>
    <xf numFmtId="4" fontId="24" fillId="22" borderId="14" xfId="0" applyNumberFormat="1" applyFont="1" applyFill="1" applyBorder="1" applyAlignment="1" applyProtection="1">
      <alignment horizontal="center" vertical="center"/>
      <protection hidden="1"/>
    </xf>
    <xf numFmtId="3" fontId="24" fillId="24" borderId="14" xfId="0" applyNumberFormat="1" applyFont="1" applyFill="1" applyBorder="1" applyAlignment="1" applyProtection="1">
      <alignment horizontal="center" vertical="center"/>
      <protection hidden="1"/>
    </xf>
    <xf numFmtId="4" fontId="24" fillId="24" borderId="14" xfId="0" applyNumberFormat="1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 horizontal="center" vertical="center"/>
      <protection hidden="1"/>
    </xf>
    <xf numFmtId="3" fontId="22" fillId="24" borderId="0" xfId="0" applyNumberFormat="1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/>
      <protection hidden="1"/>
    </xf>
    <xf numFmtId="4" fontId="22" fillId="24" borderId="0" xfId="0" applyNumberFormat="1" applyFont="1" applyFill="1" applyAlignment="1" applyProtection="1">
      <alignment horizontal="center" vertical="center"/>
      <protection hidden="1"/>
    </xf>
    <xf numFmtId="3" fontId="22" fillId="24" borderId="15" xfId="0" applyNumberFormat="1" applyFont="1" applyFill="1" applyBorder="1" applyAlignment="1" applyProtection="1">
      <alignment horizontal="center" vertical="center"/>
      <protection hidden="1"/>
    </xf>
    <xf numFmtId="4" fontId="22" fillId="24" borderId="15" xfId="0" applyNumberFormat="1" applyFont="1" applyFill="1" applyBorder="1" applyAlignment="1" applyProtection="1">
      <alignment horizontal="center" vertical="center"/>
      <protection hidden="1"/>
    </xf>
    <xf numFmtId="3" fontId="22" fillId="24" borderId="12" xfId="0" applyNumberFormat="1" applyFont="1" applyFill="1" applyBorder="1" applyAlignment="1" applyProtection="1">
      <alignment horizontal="center" vertical="center"/>
      <protection hidden="1"/>
    </xf>
    <xf numFmtId="3" fontId="22" fillId="24" borderId="0" xfId="0" applyNumberFormat="1" applyFont="1" applyFill="1" applyBorder="1" applyAlignment="1" applyProtection="1">
      <alignment horizontal="center" vertical="center"/>
      <protection hidden="1"/>
    </xf>
    <xf numFmtId="3" fontId="24" fillId="24" borderId="0" xfId="0" applyNumberFormat="1" applyFont="1" applyFill="1" applyBorder="1" applyAlignment="1" applyProtection="1">
      <alignment horizontal="center" vertical="center"/>
      <protection hidden="1"/>
    </xf>
    <xf numFmtId="3" fontId="22" fillId="24" borderId="16" xfId="0" applyNumberFormat="1" applyFont="1" applyFill="1" applyBorder="1" applyAlignment="1" applyProtection="1">
      <alignment horizontal="center" vertical="center"/>
      <protection hidden="1"/>
    </xf>
    <xf numFmtId="3" fontId="22" fillId="24" borderId="17" xfId="0" applyNumberFormat="1" applyFont="1" applyFill="1" applyBorder="1" applyAlignment="1" applyProtection="1">
      <alignment horizontal="center" vertical="center"/>
      <protection hidden="1"/>
    </xf>
    <xf numFmtId="0" fontId="22" fillId="24" borderId="15" xfId="0" applyFont="1" applyFill="1" applyBorder="1" applyAlignment="1" applyProtection="1">
      <alignment horizontal="center" vertical="center"/>
      <protection hidden="1"/>
    </xf>
    <xf numFmtId="0" fontId="22" fillId="24" borderId="18" xfId="0" applyFont="1" applyFill="1" applyBorder="1" applyAlignment="1" applyProtection="1">
      <alignment horizontal="center" vertical="center"/>
      <protection hidden="1"/>
    </xf>
    <xf numFmtId="0" fontId="22" fillId="24" borderId="13" xfId="0" applyFont="1" applyFill="1" applyBorder="1" applyAlignment="1" applyProtection="1">
      <alignment horizontal="center" vertical="center"/>
      <protection hidden="1"/>
    </xf>
    <xf numFmtId="4" fontId="22" fillId="24" borderId="16" xfId="0" applyNumberFormat="1" applyFont="1" applyFill="1" applyBorder="1" applyAlignment="1" applyProtection="1">
      <alignment horizontal="center" vertical="center"/>
      <protection hidden="1"/>
    </xf>
    <xf numFmtId="0" fontId="19" fillId="24" borderId="0" xfId="0" applyFont="1" applyFill="1" applyAlignment="1" applyProtection="1">
      <alignment horizontal="center" vertical="center"/>
      <protection hidden="1"/>
    </xf>
    <xf numFmtId="3" fontId="19" fillId="24" borderId="0" xfId="0" applyNumberFormat="1" applyFont="1" applyFill="1" applyAlignment="1" applyProtection="1">
      <alignment horizontal="center" vertical="center"/>
      <protection hidden="1"/>
    </xf>
    <xf numFmtId="4" fontId="19" fillId="24" borderId="0" xfId="0" applyNumberFormat="1" applyFont="1" applyFill="1" applyAlignment="1" applyProtection="1">
      <alignment horizontal="center" vertical="center"/>
      <protection hidden="1"/>
    </xf>
    <xf numFmtId="1" fontId="19" fillId="24" borderId="0" xfId="0" applyNumberFormat="1" applyFont="1" applyFill="1" applyAlignment="1" applyProtection="1">
      <alignment/>
      <protection hidden="1"/>
    </xf>
    <xf numFmtId="3" fontId="20" fillId="24" borderId="0" xfId="0" applyNumberFormat="1" applyFont="1" applyFill="1" applyAlignment="1" applyProtection="1">
      <alignment horizontal="center" vertical="center"/>
      <protection hidden="1"/>
    </xf>
    <xf numFmtId="3" fontId="20" fillId="24" borderId="0" xfId="0" applyNumberFormat="1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horizontal="center"/>
      <protection locked="0"/>
    </xf>
    <xf numFmtId="3" fontId="21" fillId="24" borderId="0" xfId="0" applyNumberFormat="1" applyFont="1" applyFill="1" applyAlignment="1" applyProtection="1">
      <alignment horizontal="center"/>
      <protection locked="0"/>
    </xf>
    <xf numFmtId="4" fontId="21" fillId="24" borderId="0" xfId="0" applyNumberFormat="1" applyFont="1" applyFill="1" applyAlignment="1" applyProtection="1">
      <alignment horizontal="center"/>
      <protection locked="0"/>
    </xf>
    <xf numFmtId="3" fontId="19" fillId="24" borderId="0" xfId="0" applyNumberFormat="1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hidden="1"/>
    </xf>
    <xf numFmtId="3" fontId="22" fillId="24" borderId="10" xfId="0" applyNumberFormat="1" applyFont="1" applyFill="1" applyBorder="1" applyAlignment="1" applyProtection="1">
      <alignment horizontal="center" vertical="center"/>
      <protection hidden="1"/>
    </xf>
    <xf numFmtId="4" fontId="22" fillId="24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3" fontId="24" fillId="0" borderId="14" xfId="0" applyNumberFormat="1" applyFont="1" applyBorder="1" applyAlignment="1" applyProtection="1">
      <alignment horizontal="center" vertical="center"/>
      <protection hidden="1"/>
    </xf>
    <xf numFmtId="4" fontId="24" fillId="0" borderId="14" xfId="0" applyNumberFormat="1" applyFont="1" applyBorder="1" applyAlignment="1" applyProtection="1">
      <alignment horizontal="center" vertical="center"/>
      <protection hidden="1"/>
    </xf>
    <xf numFmtId="0" fontId="22" fillId="24" borderId="19" xfId="0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center" vertical="center"/>
      <protection hidden="1"/>
    </xf>
    <xf numFmtId="0" fontId="22" fillId="24" borderId="20" xfId="0" applyFont="1" applyFill="1" applyBorder="1" applyAlignment="1" applyProtection="1">
      <alignment horizontal="center" vertical="center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3" fontId="24" fillId="24" borderId="10" xfId="0" applyNumberFormat="1" applyFont="1" applyFill="1" applyBorder="1" applyAlignment="1" applyProtection="1">
      <alignment horizontal="center" vertical="center"/>
      <protection hidden="1"/>
    </xf>
    <xf numFmtId="4" fontId="24" fillId="24" borderId="10" xfId="0" applyNumberFormat="1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3" fontId="24" fillId="24" borderId="11" xfId="0" applyNumberFormat="1" applyFont="1" applyFill="1" applyBorder="1" applyAlignment="1" applyProtection="1">
      <alignment horizontal="center" vertical="center"/>
      <protection hidden="1"/>
    </xf>
    <xf numFmtId="0" fontId="31" fillId="24" borderId="11" xfId="0" applyFont="1" applyFill="1" applyBorder="1" applyAlignment="1" applyProtection="1">
      <alignment horizontal="center" vertical="center"/>
      <protection hidden="1"/>
    </xf>
    <xf numFmtId="4" fontId="22" fillId="24" borderId="0" xfId="0" applyNumberFormat="1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0" fontId="24" fillId="24" borderId="0" xfId="0" applyFont="1" applyFill="1" applyBorder="1" applyAlignment="1" applyProtection="1">
      <alignment horizontal="center" vertical="center"/>
      <protection hidden="1"/>
    </xf>
    <xf numFmtId="4" fontId="24" fillId="24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14" fontId="24" fillId="24" borderId="10" xfId="0" applyNumberFormat="1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 horizontal="center"/>
      <protection hidden="1"/>
    </xf>
    <xf numFmtId="4" fontId="22" fillId="24" borderId="0" xfId="0" applyNumberFormat="1" applyFont="1" applyFill="1" applyAlignment="1" applyProtection="1">
      <alignment/>
      <protection hidden="1"/>
    </xf>
    <xf numFmtId="1" fontId="22" fillId="24" borderId="0" xfId="0" applyNumberFormat="1" applyFont="1" applyFill="1" applyAlignment="1" applyProtection="1">
      <alignment/>
      <protection hidden="1"/>
    </xf>
    <xf numFmtId="3" fontId="24" fillId="24" borderId="0" xfId="0" applyNumberFormat="1" applyFont="1" applyFill="1" applyAlignment="1" applyProtection="1">
      <alignment horizontal="center" vertical="center"/>
      <protection hidden="1"/>
    </xf>
    <xf numFmtId="0" fontId="31" fillId="24" borderId="1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3" fontId="24" fillId="0" borderId="14" xfId="0" applyNumberFormat="1" applyFont="1" applyFill="1" applyBorder="1" applyAlignment="1" applyProtection="1">
      <alignment horizontal="center" vertical="center"/>
      <protection hidden="1"/>
    </xf>
    <xf numFmtId="4" fontId="32" fillId="0" borderId="14" xfId="0" applyNumberFormat="1" applyFont="1" applyFill="1" applyBorder="1" applyAlignment="1" applyProtection="1">
      <alignment horizontal="center" vertical="center"/>
      <protection hidden="1"/>
    </xf>
    <xf numFmtId="3" fontId="32" fillId="0" borderId="14" xfId="0" applyNumberFormat="1" applyFont="1" applyFill="1" applyBorder="1" applyAlignment="1" applyProtection="1">
      <alignment horizontal="center" vertical="center"/>
      <protection hidden="1"/>
    </xf>
    <xf numFmtId="0" fontId="30" fillId="0" borderId="21" xfId="36" applyFont="1" applyFill="1" applyBorder="1" applyAlignment="1" applyProtection="1">
      <alignment vertical="top" wrapText="1"/>
      <protection hidden="1"/>
    </xf>
    <xf numFmtId="3" fontId="29" fillId="24" borderId="21" xfId="0" applyNumberFormat="1" applyFont="1" applyFill="1" applyBorder="1" applyAlignment="1" applyProtection="1">
      <alignment horizontal="right" vertical="top" wrapText="1"/>
      <protection hidden="1"/>
    </xf>
    <xf numFmtId="0" fontId="29" fillId="0" borderId="21" xfId="0" applyFont="1" applyBorder="1" applyAlignment="1" applyProtection="1">
      <alignment horizontal="right" vertical="top" wrapText="1"/>
      <protection hidden="1"/>
    </xf>
    <xf numFmtId="3" fontId="29" fillId="0" borderId="21" xfId="0" applyNumberFormat="1" applyFont="1" applyBorder="1" applyAlignment="1" applyProtection="1">
      <alignment horizontal="right" vertical="top" wrapText="1"/>
      <protection hidden="1"/>
    </xf>
    <xf numFmtId="0" fontId="29" fillId="24" borderId="21" xfId="0" applyFont="1" applyFill="1" applyBorder="1" applyAlignment="1" applyProtection="1">
      <alignment horizontal="right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3" fontId="24" fillId="0" borderId="0" xfId="0" applyNumberFormat="1" applyFont="1" applyAlignment="1" applyProtection="1">
      <alignment/>
      <protection hidden="1"/>
    </xf>
    <xf numFmtId="3" fontId="21" fillId="24" borderId="16" xfId="0" applyNumberFormat="1" applyFont="1" applyFill="1" applyBorder="1" applyAlignment="1" applyProtection="1">
      <alignment horizontal="center" vertical="center"/>
      <protection hidden="1"/>
    </xf>
    <xf numFmtId="0" fontId="21" fillId="24" borderId="14" xfId="0" applyFont="1" applyFill="1" applyBorder="1" applyAlignment="1" applyProtection="1">
      <alignment horizontal="center" vertical="center"/>
      <protection hidden="1"/>
    </xf>
    <xf numFmtId="3" fontId="21" fillId="24" borderId="15" xfId="0" applyNumberFormat="1" applyFont="1" applyFill="1" applyBorder="1" applyAlignment="1" applyProtection="1">
      <alignment horizontal="center" vertical="center"/>
      <protection hidden="1"/>
    </xf>
    <xf numFmtId="3" fontId="31" fillId="24" borderId="15" xfId="0" applyNumberFormat="1" applyFont="1" applyFill="1" applyBorder="1" applyAlignment="1" applyProtection="1">
      <alignment horizontal="center" vertical="center"/>
      <protection hidden="1"/>
    </xf>
    <xf numFmtId="3" fontId="21" fillId="24" borderId="12" xfId="0" applyNumberFormat="1" applyFont="1" applyFill="1" applyBorder="1" applyAlignment="1" applyProtection="1">
      <alignment horizontal="center" vertical="center"/>
      <protection hidden="1"/>
    </xf>
    <xf numFmtId="0" fontId="33" fillId="24" borderId="15" xfId="0" applyFont="1" applyFill="1" applyBorder="1" applyAlignment="1" applyProtection="1">
      <alignment horizontal="center" vertical="center"/>
      <protection hidden="1"/>
    </xf>
    <xf numFmtId="0" fontId="33" fillId="0" borderId="18" xfId="0" applyFont="1" applyBorder="1" applyAlignment="1" applyProtection="1">
      <alignment horizontal="center" vertical="center"/>
      <protection hidden="1"/>
    </xf>
    <xf numFmtId="3" fontId="21" fillId="24" borderId="0" xfId="0" applyNumberFormat="1" applyFont="1" applyFill="1" applyBorder="1" applyAlignment="1" applyProtection="1">
      <alignment horizontal="center" vertical="center"/>
      <protection hidden="1"/>
    </xf>
    <xf numFmtId="3" fontId="31" fillId="24" borderId="0" xfId="0" applyNumberFormat="1" applyFont="1" applyFill="1" applyBorder="1" applyAlignment="1" applyProtection="1">
      <alignment horizontal="center" vertical="center"/>
      <protection hidden="1"/>
    </xf>
    <xf numFmtId="3" fontId="21" fillId="24" borderId="22" xfId="0" applyNumberFormat="1" applyFont="1" applyFill="1" applyBorder="1" applyAlignment="1" applyProtection="1">
      <alignment horizontal="center" vertical="center"/>
      <protection hidden="1"/>
    </xf>
    <xf numFmtId="3" fontId="21" fillId="24" borderId="23" xfId="0" applyNumberFormat="1" applyFont="1" applyFill="1" applyBorder="1" applyAlignment="1" applyProtection="1">
      <alignment horizontal="center" vertical="center"/>
      <protection hidden="1"/>
    </xf>
    <xf numFmtId="3" fontId="21" fillId="24" borderId="13" xfId="0" applyNumberFormat="1" applyFont="1" applyFill="1" applyBorder="1" applyAlignment="1" applyProtection="1">
      <alignment horizontal="center" vertical="center"/>
      <protection hidden="1"/>
    </xf>
    <xf numFmtId="3" fontId="21" fillId="24" borderId="17" xfId="0" applyNumberFormat="1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22" fillId="24" borderId="22" xfId="0" applyFont="1" applyFill="1" applyBorder="1" applyAlignment="1" applyProtection="1">
      <alignment horizontal="center" vertical="center"/>
      <protection hidden="1"/>
    </xf>
    <xf numFmtId="10" fontId="22" fillId="24" borderId="14" xfId="0" applyNumberFormat="1" applyFont="1" applyFill="1" applyBorder="1" applyAlignment="1" applyProtection="1">
      <alignment horizontal="center" vertical="center"/>
      <protection hidden="1"/>
    </xf>
    <xf numFmtId="10" fontId="32" fillId="0" borderId="1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31" fillId="24" borderId="12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left" vertical="top"/>
      <protection hidden="1"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31" fillId="24" borderId="18" xfId="0" applyFont="1" applyFill="1" applyBorder="1" applyAlignment="1" applyProtection="1">
      <alignment horizontal="center" vertical="center"/>
      <protection hidden="1"/>
    </xf>
    <xf numFmtId="3" fontId="21" fillId="24" borderId="10" xfId="0" applyNumberFormat="1" applyFont="1" applyFill="1" applyBorder="1" applyAlignment="1" applyProtection="1">
      <alignment horizontal="center" vertical="center"/>
      <protection hidden="1"/>
    </xf>
    <xf numFmtId="3" fontId="21" fillId="24" borderId="14" xfId="0" applyNumberFormat="1" applyFont="1" applyFill="1" applyBorder="1" applyAlignment="1" applyProtection="1">
      <alignment horizontal="center" vertical="center"/>
      <protection hidden="1"/>
    </xf>
    <xf numFmtId="10" fontId="21" fillId="24" borderId="14" xfId="0" applyNumberFormat="1" applyFont="1" applyFill="1" applyBorder="1" applyAlignment="1" applyProtection="1">
      <alignment horizontal="center" vertical="center"/>
      <protection hidden="1"/>
    </xf>
    <xf numFmtId="10" fontId="21" fillId="24" borderId="10" xfId="0" applyNumberFormat="1" applyFont="1" applyFill="1" applyBorder="1" applyAlignment="1" applyProtection="1">
      <alignment horizontal="center" vertical="center"/>
      <protection hidden="1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0" fontId="21" fillId="24" borderId="25" xfId="0" applyFont="1" applyFill="1" applyBorder="1" applyAlignment="1" applyProtection="1">
      <alignment horizontal="center" vertical="center"/>
      <protection hidden="1"/>
    </xf>
    <xf numFmtId="3" fontId="21" fillId="24" borderId="25" xfId="0" applyNumberFormat="1" applyFont="1" applyFill="1" applyBorder="1" applyAlignment="1" applyProtection="1">
      <alignment horizontal="center" vertical="center"/>
      <protection hidden="1"/>
    </xf>
    <xf numFmtId="3" fontId="31" fillId="24" borderId="10" xfId="0" applyNumberFormat="1" applyFont="1" applyFill="1" applyBorder="1" applyAlignment="1" applyProtection="1">
      <alignment horizontal="center" vertical="center"/>
      <protection hidden="1"/>
    </xf>
    <xf numFmtId="10" fontId="31" fillId="24" borderId="10" xfId="0" applyNumberFormat="1" applyFont="1" applyFill="1" applyBorder="1" applyAlignment="1" applyProtection="1">
      <alignment horizontal="center" vertical="center"/>
      <protection hidden="1"/>
    </xf>
    <xf numFmtId="4" fontId="21" fillId="24" borderId="14" xfId="0" applyNumberFormat="1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left" vertical="top"/>
      <protection locked="0"/>
    </xf>
    <xf numFmtId="3" fontId="21" fillId="24" borderId="0" xfId="0" applyNumberFormat="1" applyFont="1" applyFill="1" applyBorder="1" applyAlignment="1" applyProtection="1">
      <alignment horizontal="left" vertical="top"/>
      <protection locked="0"/>
    </xf>
    <xf numFmtId="0" fontId="21" fillId="25" borderId="14" xfId="0" applyFont="1" applyFill="1" applyBorder="1" applyAlignment="1" applyProtection="1">
      <alignment horizontal="center" vertical="top"/>
      <protection locked="0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31" fillId="24" borderId="26" xfId="0" applyFont="1" applyFill="1" applyBorder="1" applyAlignment="1" applyProtection="1">
      <alignment horizontal="center" vertical="center"/>
      <protection hidden="1"/>
    </xf>
    <xf numFmtId="0" fontId="31" fillId="24" borderId="27" xfId="0" applyFont="1" applyFill="1" applyBorder="1" applyAlignment="1" applyProtection="1">
      <alignment horizontal="center" vertical="center"/>
      <protection hidden="1"/>
    </xf>
    <xf numFmtId="0" fontId="34" fillId="24" borderId="26" xfId="0" applyFont="1" applyFill="1" applyBorder="1" applyAlignment="1" applyProtection="1">
      <alignment horizontal="center" vertical="center"/>
      <protection hidden="1"/>
    </xf>
    <xf numFmtId="0" fontId="31" fillId="24" borderId="28" xfId="0" applyFont="1" applyFill="1" applyBorder="1" applyAlignment="1" applyProtection="1">
      <alignment horizontal="center" vertical="center"/>
      <protection hidden="1"/>
    </xf>
    <xf numFmtId="0" fontId="21" fillId="24" borderId="12" xfId="0" applyFont="1" applyFill="1" applyBorder="1" applyAlignment="1" applyProtection="1">
      <alignment horizontal="center" vertical="center"/>
      <protection hidden="1"/>
    </xf>
    <xf numFmtId="0" fontId="36" fillId="0" borderId="14" xfId="0" applyFont="1" applyFill="1" applyBorder="1" applyAlignment="1" applyProtection="1">
      <alignment horizontal="center" vertical="center"/>
      <protection hidden="1"/>
    </xf>
    <xf numFmtId="3" fontId="36" fillId="0" borderId="14" xfId="0" applyNumberFormat="1" applyFont="1" applyFill="1" applyBorder="1" applyAlignment="1" applyProtection="1">
      <alignment horizontal="center" vertical="center"/>
      <protection hidden="1"/>
    </xf>
    <xf numFmtId="3" fontId="36" fillId="24" borderId="10" xfId="0" applyNumberFormat="1" applyFont="1" applyFill="1" applyBorder="1" applyAlignment="1" applyProtection="1">
      <alignment horizontal="center" vertical="center"/>
      <protection hidden="1"/>
    </xf>
    <xf numFmtId="3" fontId="36" fillId="0" borderId="10" xfId="0" applyNumberFormat="1" applyFont="1" applyFill="1" applyBorder="1" applyAlignment="1" applyProtection="1">
      <alignment horizontal="center" vertical="center"/>
      <protection hidden="1"/>
    </xf>
    <xf numFmtId="10" fontId="37" fillId="24" borderId="10" xfId="0" applyNumberFormat="1" applyFont="1" applyFill="1" applyBorder="1" applyAlignment="1" applyProtection="1">
      <alignment horizontal="center" vertical="center"/>
      <protection hidden="1"/>
    </xf>
    <xf numFmtId="3" fontId="35" fillId="24" borderId="14" xfId="0" applyNumberFormat="1" applyFont="1" applyFill="1" applyBorder="1" applyAlignment="1" applyProtection="1">
      <alignment horizontal="center" vertical="center"/>
      <protection hidden="1"/>
    </xf>
    <xf numFmtId="10" fontId="21" fillId="24" borderId="0" xfId="0" applyNumberFormat="1" applyFont="1" applyFill="1" applyBorder="1" applyAlignment="1" applyProtection="1">
      <alignment horizontal="left" vertical="top"/>
      <protection hidden="1"/>
    </xf>
    <xf numFmtId="0" fontId="24" fillId="24" borderId="14" xfId="0" applyFont="1" applyFill="1" applyBorder="1" applyAlignment="1" applyProtection="1">
      <alignment horizontal="center" vertical="center"/>
      <protection hidden="1"/>
    </xf>
    <xf numFmtId="3" fontId="22" fillId="24" borderId="10" xfId="48" applyNumberFormat="1" applyFont="1" applyFill="1" applyBorder="1" applyAlignment="1" applyProtection="1">
      <alignment horizontal="center" vertical="center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3" fontId="30" fillId="24" borderId="10" xfId="48" applyNumberFormat="1" applyFont="1" applyFill="1" applyBorder="1" applyAlignment="1" applyProtection="1">
      <alignment horizontal="center" vertical="center"/>
      <protection hidden="1"/>
    </xf>
    <xf numFmtId="10" fontId="30" fillId="24" borderId="10" xfId="48" applyNumberFormat="1" applyFont="1" applyFill="1" applyBorder="1" applyAlignment="1" applyProtection="1">
      <alignment horizontal="center" vertical="center"/>
      <protection hidden="1"/>
    </xf>
    <xf numFmtId="10" fontId="22" fillId="24" borderId="10" xfId="0" applyNumberFormat="1" applyFont="1" applyFill="1" applyBorder="1" applyAlignment="1" applyProtection="1">
      <alignment horizontal="center" vertical="center"/>
      <protection hidden="1"/>
    </xf>
    <xf numFmtId="3" fontId="22" fillId="24" borderId="14" xfId="48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3" fontId="30" fillId="24" borderId="14" xfId="48" applyNumberFormat="1" applyFont="1" applyFill="1" applyBorder="1" applyAlignment="1" applyProtection="1">
      <alignment horizontal="center" vertical="center"/>
      <protection hidden="1"/>
    </xf>
    <xf numFmtId="0" fontId="32" fillId="24" borderId="14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/>
      <protection hidden="1"/>
    </xf>
    <xf numFmtId="10" fontId="24" fillId="24" borderId="14" xfId="0" applyNumberFormat="1" applyFont="1" applyFill="1" applyBorder="1" applyAlignment="1" applyProtection="1">
      <alignment horizontal="center" vertical="center"/>
      <protection hidden="1"/>
    </xf>
    <xf numFmtId="10" fontId="21" fillId="24" borderId="25" xfId="0" applyNumberFormat="1" applyFont="1" applyFill="1" applyBorder="1" applyAlignment="1" applyProtection="1">
      <alignment horizontal="center" vertical="center"/>
      <protection hidden="1"/>
    </xf>
    <xf numFmtId="3" fontId="31" fillId="10" borderId="17" xfId="0" applyNumberFormat="1" applyFont="1" applyFill="1" applyBorder="1" applyAlignment="1" applyProtection="1">
      <alignment horizontal="center" vertical="center"/>
      <protection hidden="1"/>
    </xf>
    <xf numFmtId="3" fontId="31" fillId="10" borderId="10" xfId="0" applyNumberFormat="1" applyFont="1" applyFill="1" applyBorder="1" applyAlignment="1" applyProtection="1">
      <alignment horizontal="center" vertical="center"/>
      <protection hidden="1"/>
    </xf>
    <xf numFmtId="0" fontId="22" fillId="24" borderId="29" xfId="0" applyFont="1" applyFill="1" applyBorder="1" applyAlignment="1" applyProtection="1">
      <alignment horizontal="center" vertical="center"/>
      <protection hidden="1"/>
    </xf>
    <xf numFmtId="0" fontId="23" fillId="0" borderId="30" xfId="0" applyFont="1" applyBorder="1" applyAlignment="1" applyProtection="1">
      <alignment horizontal="center" vertical="center"/>
      <protection hidden="1"/>
    </xf>
    <xf numFmtId="0" fontId="23" fillId="0" borderId="29" xfId="0" applyFont="1" applyBorder="1" applyAlignment="1" applyProtection="1">
      <alignment horizontal="center" vertical="center"/>
      <protection hidden="1"/>
    </xf>
    <xf numFmtId="3" fontId="22" fillId="24" borderId="14" xfId="0" applyNumberFormat="1" applyFont="1" applyFill="1" applyBorder="1" applyAlignment="1" applyProtection="1">
      <alignment horizontal="center" vertical="center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0" fontId="24" fillId="24" borderId="14" xfId="0" applyFont="1" applyFill="1" applyBorder="1" applyAlignment="1" applyProtection="1">
      <alignment horizontal="center" vertical="center"/>
      <protection hidden="1"/>
    </xf>
    <xf numFmtId="4" fontId="21" fillId="24" borderId="12" xfId="0" applyNumberFormat="1" applyFont="1" applyFill="1" applyBorder="1" applyAlignment="1" applyProtection="1">
      <alignment horizontal="center" vertical="center"/>
      <protection hidden="1"/>
    </xf>
    <xf numFmtId="0" fontId="18" fillId="2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" fontId="24" fillId="24" borderId="31" xfId="0" applyNumberFormat="1" applyFont="1" applyFill="1" applyBorder="1" applyAlignment="1" applyProtection="1">
      <alignment horizontal="center" vertical="center"/>
      <protection hidden="1"/>
    </xf>
    <xf numFmtId="3" fontId="24" fillId="24" borderId="32" xfId="0" applyNumberFormat="1" applyFont="1" applyFill="1" applyBorder="1" applyAlignment="1" applyProtection="1">
      <alignment horizontal="center" vertical="center"/>
      <protection hidden="1"/>
    </xf>
    <xf numFmtId="0" fontId="22" fillId="24" borderId="14" xfId="0" applyFont="1" applyFill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2" fillId="24" borderId="33" xfId="0" applyFont="1" applyFill="1" applyBorder="1" applyAlignment="1" applyProtection="1">
      <alignment horizontal="center" vertical="center"/>
      <protection hidden="1"/>
    </xf>
    <xf numFmtId="0" fontId="23" fillId="0" borderId="34" xfId="0" applyFont="1" applyBorder="1" applyAlignment="1" applyProtection="1">
      <alignment horizontal="center" vertical="center"/>
      <protection hidden="1"/>
    </xf>
    <xf numFmtId="0" fontId="36" fillId="24" borderId="14" xfId="0" applyFont="1" applyFill="1" applyBorder="1" applyAlignment="1" applyProtection="1">
      <alignment horizontal="center" vertical="center"/>
      <protection hidden="1"/>
    </xf>
    <xf numFmtId="0" fontId="36" fillId="24" borderId="0" xfId="0" applyFont="1" applyFill="1" applyBorder="1" applyAlignment="1" applyProtection="1">
      <alignment horizontal="center" vertical="center"/>
      <protection hidden="1"/>
    </xf>
    <xf numFmtId="0" fontId="33" fillId="0" borderId="14" xfId="0" applyFont="1" applyBorder="1" applyAlignment="1" applyProtection="1">
      <alignment horizontal="center" vertical="center"/>
      <protection hidden="1"/>
    </xf>
    <xf numFmtId="0" fontId="21" fillId="24" borderId="12" xfId="0" applyFont="1" applyFill="1" applyBorder="1" applyAlignment="1" applyProtection="1">
      <alignment horizontal="center" vertical="center"/>
      <protection hidden="1"/>
    </xf>
    <xf numFmtId="0" fontId="33" fillId="0" borderId="15" xfId="0" applyFont="1" applyBorder="1" applyAlignment="1" applyProtection="1">
      <alignment horizontal="center" vertical="center"/>
      <protection hidden="1"/>
    </xf>
    <xf numFmtId="0" fontId="33" fillId="0" borderId="22" xfId="0" applyFont="1" applyBorder="1" applyAlignment="1" applyProtection="1">
      <alignment horizontal="center" vertical="center"/>
      <protection hidden="1"/>
    </xf>
    <xf numFmtId="0" fontId="18" fillId="24" borderId="0" xfId="0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8" fillId="24" borderId="16" xfId="0" applyFont="1" applyFill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3" fontId="33" fillId="0" borderId="16" xfId="0" applyNumberFormat="1" applyFont="1" applyBorder="1" applyAlignment="1" applyProtection="1">
      <alignment horizontal="center" vertical="center"/>
      <protection hidden="1"/>
    </xf>
    <xf numFmtId="3" fontId="21" fillId="24" borderId="15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" fontId="21" fillId="24" borderId="13" xfId="0" applyNumberFormat="1" applyFont="1" applyFill="1" applyBorder="1" applyAlignment="1" applyProtection="1">
      <alignment horizontal="center" vertical="center"/>
      <protection hidden="1"/>
    </xf>
    <xf numFmtId="0" fontId="33" fillId="0" borderId="16" xfId="0" applyFont="1" applyBorder="1" applyAlignment="1" applyProtection="1">
      <alignment horizontal="center" vertical="center"/>
      <protection hidden="1"/>
    </xf>
    <xf numFmtId="0" fontId="33" fillId="0" borderId="17" xfId="0" applyFont="1" applyBorder="1" applyAlignment="1" applyProtection="1">
      <alignment horizontal="center" vertical="center"/>
      <protection hidden="1"/>
    </xf>
    <xf numFmtId="4" fontId="21" fillId="24" borderId="15" xfId="0" applyNumberFormat="1" applyFont="1" applyFill="1" applyBorder="1" applyAlignment="1" applyProtection="1">
      <alignment horizontal="center" vertical="center"/>
      <protection hidden="1"/>
    </xf>
    <xf numFmtId="3" fontId="21" fillId="24" borderId="18" xfId="0" applyNumberFormat="1" applyFont="1" applyFill="1" applyBorder="1" applyAlignment="1" applyProtection="1">
      <alignment horizontal="center" vertical="center"/>
      <protection hidden="1"/>
    </xf>
    <xf numFmtId="0" fontId="33" fillId="0" borderId="23" xfId="0" applyFont="1" applyBorder="1" applyAlignment="1" applyProtection="1">
      <alignment horizontal="center" vertical="center"/>
      <protection hidden="1"/>
    </xf>
    <xf numFmtId="0" fontId="21" fillId="24" borderId="14" xfId="0" applyFont="1" applyFill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4" fillId="24" borderId="11" xfId="0" applyFont="1" applyFill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3" fontId="22" fillId="24" borderId="0" xfId="0" applyNumberFormat="1" applyFont="1" applyFill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24" borderId="16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4" fillId="24" borderId="35" xfId="0" applyFont="1" applyFill="1" applyBorder="1" applyAlignment="1" applyProtection="1">
      <alignment horizontal="center" vertical="center"/>
      <protection hidden="1"/>
    </xf>
    <xf numFmtId="0" fontId="24" fillId="24" borderId="36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10" fontId="22" fillId="24" borderId="0" xfId="0" applyNumberFormat="1" applyFont="1" applyFill="1" applyBorder="1" applyAlignment="1" applyProtection="1">
      <alignment horizontal="center" vertical="center"/>
      <protection hidden="1"/>
    </xf>
    <xf numFmtId="10" fontId="22" fillId="0" borderId="0" xfId="0" applyNumberFormat="1" applyFont="1" applyBorder="1" applyAlignment="1" applyProtection="1">
      <alignment horizontal="center" vertical="center"/>
      <protection hidden="1"/>
    </xf>
    <xf numFmtId="4" fontId="22" fillId="24" borderId="0" xfId="0" applyNumberFormat="1" applyFont="1" applyFill="1" applyBorder="1" applyAlignment="1" applyProtection="1">
      <alignment horizontal="center" vertical="center"/>
      <protection hidden="1"/>
    </xf>
    <xf numFmtId="0" fontId="22" fillId="24" borderId="22" xfId="0" applyFont="1" applyFill="1" applyBorder="1" applyAlignment="1" applyProtection="1">
      <alignment horizontal="center" vertical="center"/>
      <protection hidden="1"/>
    </xf>
    <xf numFmtId="3" fontId="21" fillId="24" borderId="16" xfId="0" applyNumberFormat="1" applyFont="1" applyFill="1" applyBorder="1" applyAlignment="1" applyProtection="1">
      <alignment horizontal="center" vertical="center"/>
      <protection hidden="1"/>
    </xf>
    <xf numFmtId="0" fontId="21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31" fillId="24" borderId="18" xfId="0" applyFont="1" applyFill="1" applyBorder="1" applyAlignment="1" applyProtection="1">
      <alignment horizontal="center" vertical="center"/>
      <protection hidden="1"/>
    </xf>
    <xf numFmtId="3" fontId="31" fillId="10" borderId="16" xfId="0" applyNumberFormat="1" applyFont="1" applyFill="1" applyBorder="1" applyAlignment="1" applyProtection="1">
      <alignment horizontal="center" vertical="center"/>
      <protection hidden="1"/>
    </xf>
    <xf numFmtId="3" fontId="31" fillId="10" borderId="17" xfId="0" applyNumberFormat="1" applyFont="1" applyFill="1" applyBorder="1" applyAlignment="1" applyProtection="1">
      <alignment horizontal="center" vertical="center"/>
      <protection hidden="1"/>
    </xf>
    <xf numFmtId="0" fontId="31" fillId="24" borderId="2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31" fillId="24" borderId="11" xfId="0" applyFont="1" applyFill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31" fillId="24" borderId="26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1" fillId="24" borderId="35" xfId="0" applyFont="1" applyFill="1" applyBorder="1" applyAlignment="1" applyProtection="1">
      <alignment horizontal="center" vertical="center"/>
      <protection hidden="1"/>
    </xf>
    <xf numFmtId="0" fontId="34" fillId="24" borderId="37" xfId="0" applyFont="1" applyFill="1" applyBorder="1" applyAlignment="1" applyProtection="1">
      <alignment horizontal="center" vertical="center"/>
      <protection hidden="1"/>
    </xf>
    <xf numFmtId="0" fontId="33" fillId="0" borderId="26" xfId="0" applyFont="1" applyBorder="1" applyAlignment="1" applyProtection="1">
      <alignment horizontal="center" vertical="center"/>
      <protection hidden="1"/>
    </xf>
    <xf numFmtId="0" fontId="38" fillId="24" borderId="14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32" fillId="24" borderId="14" xfId="0" applyFont="1" applyFill="1" applyBorder="1" applyAlignment="1" applyProtection="1">
      <alignment horizontal="center" vertical="center"/>
      <protection hidden="1"/>
    </xf>
    <xf numFmtId="0" fontId="24" fillId="24" borderId="10" xfId="0" applyFont="1" applyFill="1" applyBorder="1" applyAlignment="1" applyProtection="1">
      <alignment horizontal="center" vertical="center"/>
      <protection hidden="1"/>
    </xf>
    <xf numFmtId="0" fontId="32" fillId="24" borderId="10" xfId="0" applyFont="1" applyFill="1" applyBorder="1" applyAlignment="1" applyProtection="1">
      <alignment horizontal="center" vertical="center"/>
      <protection hidden="1"/>
    </xf>
    <xf numFmtId="10" fontId="22" fillId="24" borderId="0" xfId="0" applyNumberFormat="1" applyFont="1" applyFill="1" applyAlignment="1" applyProtection="1">
      <alignment/>
      <protection hidden="1"/>
    </xf>
    <xf numFmtId="10" fontId="24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24" borderId="12" xfId="0" applyFill="1" applyBorder="1" applyAlignment="1" applyProtection="1">
      <alignment horizontal="center" vertical="center"/>
      <protection hidden="1"/>
    </xf>
    <xf numFmtId="0" fontId="0" fillId="24" borderId="18" xfId="0" applyFill="1" applyBorder="1" applyAlignment="1" applyProtection="1">
      <alignment horizontal="center" vertical="center"/>
      <protection hidden="1"/>
    </xf>
    <xf numFmtId="0" fontId="0" fillId="24" borderId="11" xfId="0" applyFill="1" applyBorder="1" applyAlignment="1" applyProtection="1">
      <alignment horizontal="center" vertical="center"/>
      <protection hidden="1"/>
    </xf>
    <xf numFmtId="0" fontId="0" fillId="24" borderId="11" xfId="0" applyFill="1" applyBorder="1" applyAlignment="1" applyProtection="1">
      <alignment horizontal="center" vertical="center"/>
      <protection hidden="1"/>
    </xf>
    <xf numFmtId="0" fontId="0" fillId="24" borderId="14" xfId="0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13" xfId="0" applyFill="1" applyBorder="1" applyAlignment="1" applyProtection="1">
      <alignment horizontal="center" vertical="center"/>
      <protection hidden="1"/>
    </xf>
    <xf numFmtId="0" fontId="0" fillId="24" borderId="17" xfId="0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24" borderId="14" xfId="0" applyFill="1" applyBorder="1" applyAlignment="1" applyProtection="1">
      <alignment horizontal="center" vertical="center"/>
      <protection hidden="1"/>
    </xf>
    <xf numFmtId="3" fontId="0" fillId="24" borderId="14" xfId="0" applyNumberFormat="1" applyFill="1" applyBorder="1" applyAlignment="1" applyProtection="1">
      <alignment horizontal="center" vertical="center"/>
      <protection hidden="1"/>
    </xf>
    <xf numFmtId="10" fontId="0" fillId="24" borderId="14" xfId="0" applyNumberFormat="1" applyFill="1" applyBorder="1" applyAlignment="1" applyProtection="1">
      <alignment horizontal="center" vertical="center"/>
      <protection hidden="1"/>
    </xf>
    <xf numFmtId="3" fontId="42" fillId="24" borderId="11" xfId="0" applyNumberFormat="1" applyFont="1" applyFill="1" applyBorder="1" applyAlignment="1" applyProtection="1">
      <alignment horizontal="center" vertical="center" textRotation="180"/>
      <protection hidden="1"/>
    </xf>
    <xf numFmtId="10" fontId="42" fillId="24" borderId="11" xfId="0" applyNumberFormat="1" applyFont="1" applyFill="1" applyBorder="1" applyAlignment="1" applyProtection="1">
      <alignment horizontal="center" vertical="center" textRotation="180"/>
      <protection hidden="1"/>
    </xf>
    <xf numFmtId="10" fontId="42" fillId="24" borderId="14" xfId="0" applyNumberFormat="1" applyFont="1" applyFill="1" applyBorder="1" applyAlignment="1" applyProtection="1">
      <alignment horizontal="center" vertical="center" textRotation="180"/>
      <protection hidden="1"/>
    </xf>
    <xf numFmtId="0" fontId="42" fillId="24" borderId="24" xfId="0" applyFont="1" applyFill="1" applyBorder="1" applyAlignment="1" applyProtection="1">
      <alignment horizontal="center" vertical="center" textRotation="180"/>
      <protection hidden="1"/>
    </xf>
    <xf numFmtId="10" fontId="42" fillId="24" borderId="24" xfId="0" applyNumberFormat="1" applyFont="1" applyFill="1" applyBorder="1" applyAlignment="1" applyProtection="1">
      <alignment horizontal="center" vertical="center" textRotation="180"/>
      <protection hidden="1"/>
    </xf>
    <xf numFmtId="0" fontId="42" fillId="24" borderId="10" xfId="0" applyFont="1" applyFill="1" applyBorder="1" applyAlignment="1" applyProtection="1">
      <alignment horizontal="center" vertical="center" textRotation="180"/>
      <protection hidden="1"/>
    </xf>
    <xf numFmtId="10" fontId="42" fillId="24" borderId="10" xfId="0" applyNumberFormat="1" applyFont="1" applyFill="1" applyBorder="1" applyAlignment="1" applyProtection="1">
      <alignment horizontal="center" vertical="center" textRotation="180"/>
      <protection hidden="1"/>
    </xf>
    <xf numFmtId="0" fontId="15" fillId="24" borderId="14" xfId="0" applyFont="1" applyFill="1" applyBorder="1" applyAlignment="1" applyProtection="1">
      <alignment horizontal="center" vertical="center"/>
      <protection hidden="1"/>
    </xf>
    <xf numFmtId="3" fontId="40" fillId="24" borderId="14" xfId="0" applyNumberFormat="1" applyFont="1" applyFill="1" applyBorder="1" applyAlignment="1" applyProtection="1">
      <alignment horizontal="center" vertical="center"/>
      <protection hidden="1"/>
    </xf>
    <xf numFmtId="10" fontId="15" fillId="24" borderId="14" xfId="0" applyNumberFormat="1" applyFont="1" applyFill="1" applyBorder="1" applyAlignment="1" applyProtection="1">
      <alignment horizontal="center" vertical="center"/>
      <protection hidden="1"/>
    </xf>
    <xf numFmtId="3" fontId="41" fillId="24" borderId="14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6.7109375" style="0" bestFit="1" customWidth="1"/>
    <col min="6" max="6" width="13.8515625" style="0" bestFit="1" customWidth="1"/>
  </cols>
  <sheetData>
    <row r="2" spans="2:5" ht="15">
      <c r="B2" t="s">
        <v>1</v>
      </c>
      <c r="C2" t="s">
        <v>2</v>
      </c>
      <c r="E2" t="s">
        <v>22</v>
      </c>
    </row>
    <row r="3" spans="1:5" ht="15">
      <c r="A3" s="1">
        <v>0.2669</v>
      </c>
      <c r="B3" s="2">
        <v>382023</v>
      </c>
      <c r="C3" s="2">
        <v>28655</v>
      </c>
      <c r="E3" s="2">
        <f>(B3+C3)/A3</f>
        <v>1538696.1408767328</v>
      </c>
    </row>
    <row r="5" spans="1:6" ht="15">
      <c r="A5" s="1">
        <v>0.2669</v>
      </c>
      <c r="B5" s="2">
        <f>B3</f>
        <v>382023</v>
      </c>
      <c r="C5" s="2">
        <f>C3</f>
        <v>28655</v>
      </c>
      <c r="E5" s="4">
        <f>INT((B5+C5)/A5*100)</f>
        <v>153869614</v>
      </c>
      <c r="F5" s="5"/>
    </row>
    <row r="8" ht="15">
      <c r="E8" s="2"/>
    </row>
    <row r="9" ht="15">
      <c r="E9" s="2"/>
    </row>
    <row r="10" ht="15">
      <c r="E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24"/>
  <sheetViews>
    <sheetView workbookViewId="0" topLeftCell="A1">
      <selection activeCell="D29" sqref="D29"/>
    </sheetView>
  </sheetViews>
  <sheetFormatPr defaultColWidth="9.140625" defaultRowHeight="15"/>
  <cols>
    <col min="1" max="1" width="17.140625" style="17" customWidth="1"/>
    <col min="2" max="2" width="11.8515625" style="17" customWidth="1"/>
    <col min="3" max="3" width="10.8515625" style="17" customWidth="1"/>
    <col min="4" max="4" width="11.57421875" style="17" customWidth="1"/>
    <col min="5" max="5" width="10.7109375" style="17" customWidth="1"/>
    <col min="6" max="6" width="12.28125" style="17" customWidth="1"/>
    <col min="7" max="7" width="10.7109375" style="17" customWidth="1"/>
    <col min="8" max="8" width="10.8515625" style="17" customWidth="1"/>
    <col min="9" max="9" width="10.57421875" style="17" customWidth="1"/>
    <col min="10" max="10" width="10.8515625" style="17" customWidth="1"/>
    <col min="11" max="11" width="9.8515625" style="17" customWidth="1"/>
    <col min="12" max="12" width="12.140625" style="17" customWidth="1"/>
    <col min="13" max="13" width="12.421875" style="17" customWidth="1"/>
    <col min="14" max="14" width="10.57421875" style="17" customWidth="1"/>
    <col min="15" max="27" width="9.140625" style="17" customWidth="1"/>
    <col min="28" max="28" width="13.421875" style="17" customWidth="1"/>
    <col min="29" max="29" width="12.421875" style="17" customWidth="1"/>
    <col min="30" max="30" width="13.8515625" style="17" customWidth="1"/>
    <col min="31" max="31" width="10.140625" style="17" bestFit="1" customWidth="1"/>
    <col min="32" max="32" width="13.28125" style="17" customWidth="1"/>
    <col min="33" max="33" width="11.57421875" style="17" customWidth="1"/>
    <col min="34" max="16384" width="9.140625" style="17" customWidth="1"/>
  </cols>
  <sheetData>
    <row r="1" spans="1:65" ht="4.5" customHeight="1">
      <c r="A1" s="195" t="s">
        <v>157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4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4.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4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8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4.25">
      <c r="A5" s="178" t="s">
        <v>5</v>
      </c>
      <c r="B5" s="178" t="s">
        <v>39</v>
      </c>
      <c r="C5" s="178" t="s">
        <v>25</v>
      </c>
      <c r="D5" s="18" t="s">
        <v>10</v>
      </c>
      <c r="E5" s="18" t="s">
        <v>47</v>
      </c>
      <c r="F5" s="18" t="s">
        <v>33</v>
      </c>
      <c r="G5" s="18" t="s">
        <v>10</v>
      </c>
      <c r="H5" s="18" t="s">
        <v>33</v>
      </c>
      <c r="I5" s="18" t="s">
        <v>10</v>
      </c>
      <c r="J5" s="18" t="s">
        <v>30</v>
      </c>
      <c r="K5" s="18" t="s">
        <v>30</v>
      </c>
      <c r="L5" s="18" t="s">
        <v>36</v>
      </c>
      <c r="M5" s="19" t="s">
        <v>47</v>
      </c>
      <c r="N5" s="18" t="s">
        <v>60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0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4.25">
      <c r="A6" s="178"/>
      <c r="B6" s="178"/>
      <c r="C6" s="178"/>
      <c r="D6" s="21" t="s">
        <v>40</v>
      </c>
      <c r="E6" s="21" t="s">
        <v>41</v>
      </c>
      <c r="F6" s="21" t="s">
        <v>34</v>
      </c>
      <c r="G6" s="21" t="s">
        <v>48</v>
      </c>
      <c r="H6" s="21" t="s">
        <v>35</v>
      </c>
      <c r="I6" s="21" t="s">
        <v>49</v>
      </c>
      <c r="J6" s="21" t="s">
        <v>31</v>
      </c>
      <c r="K6" s="21" t="s">
        <v>32</v>
      </c>
      <c r="L6" s="21" t="s">
        <v>37</v>
      </c>
      <c r="M6" s="22" t="s">
        <v>29</v>
      </c>
      <c r="N6" s="21" t="s">
        <v>29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 t="s">
        <v>42</v>
      </c>
      <c r="AC6" s="16" t="s">
        <v>22</v>
      </c>
      <c r="AD6" s="16" t="s">
        <v>43</v>
      </c>
      <c r="AE6" s="16"/>
      <c r="AF6" s="23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4.25">
      <c r="A7" s="107" t="s">
        <v>16</v>
      </c>
      <c r="B7" s="25">
        <v>1331574</v>
      </c>
      <c r="C7" s="25">
        <v>1052049</v>
      </c>
      <c r="D7" s="26">
        <f>(M7/C7)*100-0.01</f>
        <v>68.70638108110933</v>
      </c>
      <c r="E7" s="25">
        <v>1639</v>
      </c>
      <c r="F7" s="38">
        <v>255001</v>
      </c>
      <c r="G7" s="26">
        <f>INT(F7*100)/AB7</f>
        <v>35.605266207663064</v>
      </c>
      <c r="H7" s="38">
        <v>461188</v>
      </c>
      <c r="I7" s="26">
        <f>INT(H7*100)/AD7</f>
        <v>64.39473379233694</v>
      </c>
      <c r="J7" s="25">
        <v>2117</v>
      </c>
      <c r="K7" s="25">
        <v>4611</v>
      </c>
      <c r="L7" s="25">
        <v>13</v>
      </c>
      <c r="M7" s="25">
        <f>SUM(F7,H7,J7,K7,L7)</f>
        <v>722930</v>
      </c>
      <c r="N7" s="25">
        <f aca="true" t="shared" si="0" ref="N7:N29">C7-M7</f>
        <v>329119</v>
      </c>
      <c r="O7" s="16"/>
      <c r="P7" s="16"/>
      <c r="Q7" s="16"/>
      <c r="R7" s="16"/>
      <c r="S7" s="16"/>
      <c r="T7" s="16"/>
      <c r="U7" s="16"/>
      <c r="V7" s="16"/>
      <c r="W7" s="34">
        <f>G7</f>
        <v>35.605266207663064</v>
      </c>
      <c r="X7" s="34">
        <f>I7</f>
        <v>64.39473379233694</v>
      </c>
      <c r="Y7" s="34">
        <f>W7+X7</f>
        <v>100</v>
      </c>
      <c r="Z7" s="16"/>
      <c r="AA7" s="16"/>
      <c r="AB7" s="20">
        <f>F7+H7</f>
        <v>716189</v>
      </c>
      <c r="AC7" s="20">
        <f>C7</f>
        <v>1052049</v>
      </c>
      <c r="AD7" s="20">
        <f>F7+H7</f>
        <v>716189</v>
      </c>
      <c r="AE7" s="20"/>
      <c r="AF7" s="20"/>
      <c r="AG7" s="20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4.25">
      <c r="A8" s="107" t="s">
        <v>20</v>
      </c>
      <c r="B8" s="25">
        <v>576619</v>
      </c>
      <c r="C8" s="25">
        <v>467000</v>
      </c>
      <c r="D8" s="26">
        <f>(M8/C8)*100-0.01</f>
        <v>62.84781584582442</v>
      </c>
      <c r="E8" s="25">
        <v>681</v>
      </c>
      <c r="F8" s="38">
        <v>98924</v>
      </c>
      <c r="G8" s="26">
        <f>INT(F8*100)/AB8</f>
        <v>34.111136014896296</v>
      </c>
      <c r="H8" s="38">
        <v>191081</v>
      </c>
      <c r="I8" s="26">
        <f aca="true" t="shared" si="1" ref="I8:I29">INT(H8*100)/AD8</f>
        <v>65.88886398510371</v>
      </c>
      <c r="J8" s="25">
        <v>900</v>
      </c>
      <c r="K8" s="25">
        <v>2629</v>
      </c>
      <c r="L8" s="25">
        <v>12</v>
      </c>
      <c r="M8" s="25">
        <f aca="true" t="shared" si="2" ref="M8:M28">SUM(F8,H8,J8,K8,L8)</f>
        <v>293546</v>
      </c>
      <c r="N8" s="25">
        <f t="shared" si="0"/>
        <v>173454</v>
      </c>
      <c r="O8" s="16"/>
      <c r="P8" s="16"/>
      <c r="Q8" s="16"/>
      <c r="R8" s="16"/>
      <c r="S8" s="16"/>
      <c r="T8" s="16"/>
      <c r="U8" s="16"/>
      <c r="V8" s="16"/>
      <c r="W8" s="34">
        <f aca="true" t="shared" si="3" ref="W8:W28">G8</f>
        <v>34.111136014896296</v>
      </c>
      <c r="X8" s="34">
        <f aca="true" t="shared" si="4" ref="X8:X28">I8</f>
        <v>65.88886398510371</v>
      </c>
      <c r="Y8" s="34">
        <f aca="true" t="shared" si="5" ref="Y8:Y28">W8+X8</f>
        <v>100</v>
      </c>
      <c r="Z8" s="16"/>
      <c r="AA8" s="16"/>
      <c r="AB8" s="20">
        <f aca="true" t="shared" si="6" ref="AB8:AB29">F8+H8</f>
        <v>290005</v>
      </c>
      <c r="AC8" s="20">
        <f aca="true" t="shared" si="7" ref="AC8:AC29">C8</f>
        <v>467000</v>
      </c>
      <c r="AD8" s="20">
        <f aca="true" t="shared" si="8" ref="AD8:AD29">F8+H8</f>
        <v>290005</v>
      </c>
      <c r="AE8" s="16"/>
      <c r="AF8" s="20"/>
      <c r="AG8" s="20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4.25">
      <c r="A9" s="107" t="s">
        <v>21</v>
      </c>
      <c r="B9" s="25">
        <v>1976631</v>
      </c>
      <c r="C9" s="25">
        <v>1553741</v>
      </c>
      <c r="D9" s="26">
        <f aca="true" t="shared" si="9" ref="D9:D26">(M9/C9)*100</f>
        <v>54.434748133697965</v>
      </c>
      <c r="E9" s="25">
        <v>2414</v>
      </c>
      <c r="F9" s="38">
        <v>276214</v>
      </c>
      <c r="G9" s="26">
        <f>INT(F9*100)/AB9</f>
        <v>32.96345800415304</v>
      </c>
      <c r="H9" s="38">
        <v>561726</v>
      </c>
      <c r="I9" s="26">
        <f t="shared" si="1"/>
        <v>67.03654199584696</v>
      </c>
      <c r="J9" s="25">
        <v>2190</v>
      </c>
      <c r="K9" s="25">
        <v>5618</v>
      </c>
      <c r="L9" s="25">
        <v>27</v>
      </c>
      <c r="M9" s="25">
        <f t="shared" si="2"/>
        <v>845775</v>
      </c>
      <c r="N9" s="25">
        <f t="shared" si="0"/>
        <v>707966</v>
      </c>
      <c r="O9" s="16"/>
      <c r="P9" s="16"/>
      <c r="Q9" s="16"/>
      <c r="R9" s="16"/>
      <c r="S9" s="16"/>
      <c r="T9" s="16"/>
      <c r="U9" s="16"/>
      <c r="V9" s="16"/>
      <c r="W9" s="34">
        <f t="shared" si="3"/>
        <v>32.96345800415304</v>
      </c>
      <c r="X9" s="34">
        <f t="shared" si="4"/>
        <v>67.03654199584696</v>
      </c>
      <c r="Y9" s="34">
        <f t="shared" si="5"/>
        <v>100</v>
      </c>
      <c r="Z9" s="16"/>
      <c r="AA9" s="16"/>
      <c r="AB9" s="20">
        <f t="shared" si="6"/>
        <v>837940</v>
      </c>
      <c r="AC9" s="20">
        <f t="shared" si="7"/>
        <v>1553741</v>
      </c>
      <c r="AD9" s="20">
        <f t="shared" si="8"/>
        <v>837940</v>
      </c>
      <c r="AE9" s="16"/>
      <c r="AF9" s="20"/>
      <c r="AG9" s="20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4.25">
      <c r="A10" s="107" t="s">
        <v>18</v>
      </c>
      <c r="B10" s="25">
        <v>5861529</v>
      </c>
      <c r="C10" s="25">
        <v>4566905</v>
      </c>
      <c r="D10" s="26">
        <f t="shared" si="9"/>
        <v>58.88167150400545</v>
      </c>
      <c r="E10" s="25">
        <v>5826</v>
      </c>
      <c r="F10" s="38">
        <v>839692</v>
      </c>
      <c r="G10" s="26">
        <f aca="true" t="shared" si="10" ref="G10:G29">INT(F10*100)/AB10</f>
        <v>31.479084972220765</v>
      </c>
      <c r="H10" s="38">
        <v>1827768</v>
      </c>
      <c r="I10" s="26">
        <f t="shared" si="1"/>
        <v>68.52091502777924</v>
      </c>
      <c r="J10" s="25">
        <v>5100</v>
      </c>
      <c r="K10" s="25">
        <v>16430</v>
      </c>
      <c r="L10" s="25">
        <v>80</v>
      </c>
      <c r="M10" s="25">
        <f t="shared" si="2"/>
        <v>2689070</v>
      </c>
      <c r="N10" s="25">
        <f t="shared" si="0"/>
        <v>1877835</v>
      </c>
      <c r="O10" s="16"/>
      <c r="P10" s="16"/>
      <c r="Q10" s="16"/>
      <c r="R10" s="16"/>
      <c r="S10" s="16"/>
      <c r="T10" s="16"/>
      <c r="U10" s="16"/>
      <c r="V10" s="16"/>
      <c r="W10" s="34">
        <f t="shared" si="3"/>
        <v>31.479084972220765</v>
      </c>
      <c r="X10" s="34">
        <f t="shared" si="4"/>
        <v>68.52091502777924</v>
      </c>
      <c r="Y10" s="34">
        <f t="shared" si="5"/>
        <v>100</v>
      </c>
      <c r="Z10" s="16"/>
      <c r="AA10" s="16"/>
      <c r="AB10" s="20">
        <f t="shared" si="6"/>
        <v>2667460</v>
      </c>
      <c r="AC10" s="20">
        <f t="shared" si="7"/>
        <v>4566905</v>
      </c>
      <c r="AD10" s="20">
        <f t="shared" si="8"/>
        <v>2667460</v>
      </c>
      <c r="AE10" s="16"/>
      <c r="AF10" s="20"/>
      <c r="AG10" s="20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4.25">
      <c r="A11" s="107" t="s">
        <v>44</v>
      </c>
      <c r="B11" s="25">
        <v>4450485</v>
      </c>
      <c r="C11" s="25">
        <v>3326910</v>
      </c>
      <c r="D11" s="26">
        <f t="shared" si="9"/>
        <v>75.93322332134022</v>
      </c>
      <c r="E11" s="25">
        <v>4513</v>
      </c>
      <c r="F11" s="38">
        <v>1262484</v>
      </c>
      <c r="G11" s="26">
        <f t="shared" si="10"/>
        <v>50.38898796077073</v>
      </c>
      <c r="H11" s="38">
        <v>1242992</v>
      </c>
      <c r="I11" s="26">
        <f t="shared" si="1"/>
        <v>49.61101203922927</v>
      </c>
      <c r="J11" s="25">
        <v>7077</v>
      </c>
      <c r="K11" s="25">
        <v>13628</v>
      </c>
      <c r="L11" s="25">
        <v>49</v>
      </c>
      <c r="M11" s="25">
        <f t="shared" si="2"/>
        <v>2526230</v>
      </c>
      <c r="N11" s="25">
        <f t="shared" si="0"/>
        <v>800680</v>
      </c>
      <c r="O11" s="16"/>
      <c r="P11" s="16"/>
      <c r="Q11" s="16"/>
      <c r="R11" s="16"/>
      <c r="S11" s="16"/>
      <c r="T11" s="16"/>
      <c r="U11" s="16"/>
      <c r="V11" s="16"/>
      <c r="W11" s="34">
        <f t="shared" si="3"/>
        <v>50.38898796077073</v>
      </c>
      <c r="X11" s="34">
        <f t="shared" si="4"/>
        <v>49.61101203922927</v>
      </c>
      <c r="Y11" s="34">
        <f t="shared" si="5"/>
        <v>100</v>
      </c>
      <c r="Z11" s="16"/>
      <c r="AA11" s="16"/>
      <c r="AB11" s="20">
        <f t="shared" si="6"/>
        <v>2505476</v>
      </c>
      <c r="AC11" s="20">
        <f t="shared" si="7"/>
        <v>3326910</v>
      </c>
      <c r="AD11" s="20">
        <f t="shared" si="8"/>
        <v>2505476</v>
      </c>
      <c r="AE11" s="16"/>
      <c r="AF11" s="20"/>
      <c r="AG11" s="20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4.25">
      <c r="A12" s="107" t="s">
        <v>45</v>
      </c>
      <c r="B12" s="25">
        <v>1227090</v>
      </c>
      <c r="C12" s="25">
        <v>952494</v>
      </c>
      <c r="D12" s="26">
        <f t="shared" si="9"/>
        <v>72.516677270408</v>
      </c>
      <c r="E12" s="25">
        <v>1370</v>
      </c>
      <c r="F12" s="38">
        <v>267379</v>
      </c>
      <c r="G12" s="26">
        <f t="shared" si="10"/>
        <v>39.02710655645581</v>
      </c>
      <c r="H12" s="38">
        <v>417732</v>
      </c>
      <c r="I12" s="26">
        <f t="shared" si="1"/>
        <v>60.97289344354419</v>
      </c>
      <c r="J12" s="25">
        <v>1680</v>
      </c>
      <c r="K12" s="25">
        <v>3904</v>
      </c>
      <c r="L12" s="25">
        <v>22</v>
      </c>
      <c r="M12" s="25">
        <f t="shared" si="2"/>
        <v>690717</v>
      </c>
      <c r="N12" s="25">
        <f t="shared" si="0"/>
        <v>261777</v>
      </c>
      <c r="O12" s="16"/>
      <c r="P12" s="16"/>
      <c r="Q12" s="16"/>
      <c r="R12" s="16"/>
      <c r="S12" s="16"/>
      <c r="T12" s="16"/>
      <c r="U12" s="16"/>
      <c r="V12" s="16"/>
      <c r="W12" s="34">
        <f t="shared" si="3"/>
        <v>39.02710655645581</v>
      </c>
      <c r="X12" s="34">
        <f t="shared" si="4"/>
        <v>60.97289344354419</v>
      </c>
      <c r="Y12" s="34">
        <f t="shared" si="5"/>
        <v>100</v>
      </c>
      <c r="Z12" s="16"/>
      <c r="AA12" s="16"/>
      <c r="AB12" s="20">
        <f t="shared" si="6"/>
        <v>685111</v>
      </c>
      <c r="AC12" s="20">
        <f t="shared" si="7"/>
        <v>952494</v>
      </c>
      <c r="AD12" s="20">
        <f t="shared" si="8"/>
        <v>685111</v>
      </c>
      <c r="AE12" s="16"/>
      <c r="AF12" s="20"/>
      <c r="AG12" s="20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4.25">
      <c r="A13" s="107" t="s">
        <v>15</v>
      </c>
      <c r="B13" s="25">
        <v>5892425</v>
      </c>
      <c r="C13" s="25">
        <v>4402145</v>
      </c>
      <c r="D13" s="26">
        <f t="shared" si="9"/>
        <v>69.16339648057935</v>
      </c>
      <c r="E13" s="25">
        <v>5277</v>
      </c>
      <c r="F13" s="38">
        <v>1108768</v>
      </c>
      <c r="G13" s="26">
        <f t="shared" si="10"/>
        <v>36.67573552882492</v>
      </c>
      <c r="H13" s="38">
        <v>1914397</v>
      </c>
      <c r="I13" s="26">
        <f t="shared" si="1"/>
        <v>63.32426447117508</v>
      </c>
      <c r="J13" s="25">
        <v>4678</v>
      </c>
      <c r="K13" s="25">
        <v>16750</v>
      </c>
      <c r="L13" s="25">
        <v>80</v>
      </c>
      <c r="M13" s="25">
        <f t="shared" si="2"/>
        <v>3044673</v>
      </c>
      <c r="N13" s="25">
        <f t="shared" si="0"/>
        <v>1357472</v>
      </c>
      <c r="O13" s="16"/>
      <c r="P13" s="16"/>
      <c r="Q13" s="16"/>
      <c r="R13" s="16"/>
      <c r="S13" s="16"/>
      <c r="T13" s="16"/>
      <c r="U13" s="16"/>
      <c r="V13" s="16"/>
      <c r="W13" s="34">
        <f t="shared" si="3"/>
        <v>36.67573552882492</v>
      </c>
      <c r="X13" s="34">
        <f t="shared" si="4"/>
        <v>63.32426447117508</v>
      </c>
      <c r="Y13" s="34">
        <f t="shared" si="5"/>
        <v>100</v>
      </c>
      <c r="Z13" s="16"/>
      <c r="AA13" s="16"/>
      <c r="AB13" s="20">
        <f t="shared" si="6"/>
        <v>3023165</v>
      </c>
      <c r="AC13" s="20">
        <f t="shared" si="7"/>
        <v>4402145</v>
      </c>
      <c r="AD13" s="20">
        <f t="shared" si="8"/>
        <v>3023165</v>
      </c>
      <c r="AE13" s="16"/>
      <c r="AF13" s="20"/>
      <c r="AG13" s="20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4.25">
      <c r="A14" s="107" t="s">
        <v>11</v>
      </c>
      <c r="B14" s="25">
        <v>1583282</v>
      </c>
      <c r="C14" s="25">
        <v>1241469</v>
      </c>
      <c r="D14" s="26">
        <f t="shared" si="9"/>
        <v>69.73641709942012</v>
      </c>
      <c r="E14" s="25">
        <v>1790</v>
      </c>
      <c r="F14" s="38">
        <v>342671</v>
      </c>
      <c r="G14" s="26">
        <f t="shared" si="10"/>
        <v>39.91750228319013</v>
      </c>
      <c r="H14" s="38">
        <v>515777</v>
      </c>
      <c r="I14" s="26">
        <f t="shared" si="1"/>
        <v>60.08249771680987</v>
      </c>
      <c r="J14" s="25">
        <v>2149</v>
      </c>
      <c r="K14" s="25">
        <v>5055</v>
      </c>
      <c r="L14" s="25">
        <v>104</v>
      </c>
      <c r="M14" s="25">
        <f t="shared" si="2"/>
        <v>865756</v>
      </c>
      <c r="N14" s="25">
        <f t="shared" si="0"/>
        <v>375713</v>
      </c>
      <c r="O14" s="16"/>
      <c r="P14" s="16"/>
      <c r="Q14" s="16"/>
      <c r="R14" s="16"/>
      <c r="S14" s="16"/>
      <c r="T14" s="16"/>
      <c r="U14" s="16"/>
      <c r="V14" s="16"/>
      <c r="W14" s="34">
        <f t="shared" si="3"/>
        <v>39.91750228319013</v>
      </c>
      <c r="X14" s="34">
        <f t="shared" si="4"/>
        <v>60.08249771680987</v>
      </c>
      <c r="Y14" s="34">
        <f t="shared" si="5"/>
        <v>100</v>
      </c>
      <c r="Z14" s="16"/>
      <c r="AA14" s="16"/>
      <c r="AB14" s="20">
        <f t="shared" si="6"/>
        <v>858448</v>
      </c>
      <c r="AC14" s="20">
        <f t="shared" si="7"/>
        <v>1241469</v>
      </c>
      <c r="AD14" s="20">
        <f t="shared" si="8"/>
        <v>858448</v>
      </c>
      <c r="AE14" s="16"/>
      <c r="AF14" s="20"/>
      <c r="AG14" s="20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4.25">
      <c r="A15" s="107" t="s">
        <v>7</v>
      </c>
      <c r="B15" s="25">
        <v>10002375</v>
      </c>
      <c r="C15" s="25">
        <v>7480375</v>
      </c>
      <c r="D15" s="26">
        <f t="shared" si="9"/>
        <v>74.22769580402053</v>
      </c>
      <c r="E15" s="25">
        <v>9222</v>
      </c>
      <c r="F15" s="38">
        <v>2452936</v>
      </c>
      <c r="G15" s="26">
        <f t="shared" si="10"/>
        <v>44.508637586447534</v>
      </c>
      <c r="H15" s="38">
        <v>3058210</v>
      </c>
      <c r="I15" s="26">
        <f t="shared" si="1"/>
        <v>55.491362413552466</v>
      </c>
      <c r="J15" s="25">
        <v>12265</v>
      </c>
      <c r="K15" s="25">
        <v>28701</v>
      </c>
      <c r="L15" s="25">
        <v>398</v>
      </c>
      <c r="M15" s="25">
        <f t="shared" si="2"/>
        <v>5552510</v>
      </c>
      <c r="N15" s="25">
        <f t="shared" si="0"/>
        <v>1927865</v>
      </c>
      <c r="O15" s="16"/>
      <c r="P15" s="16"/>
      <c r="Q15" s="16"/>
      <c r="R15" s="16"/>
      <c r="S15" s="16"/>
      <c r="T15" s="16"/>
      <c r="U15" s="16"/>
      <c r="V15" s="16"/>
      <c r="W15" s="34">
        <f t="shared" si="3"/>
        <v>44.508637586447534</v>
      </c>
      <c r="X15" s="34">
        <f t="shared" si="4"/>
        <v>55.491362413552466</v>
      </c>
      <c r="Y15" s="34">
        <f t="shared" si="5"/>
        <v>100</v>
      </c>
      <c r="Z15" s="16"/>
      <c r="AA15" s="16"/>
      <c r="AB15" s="20">
        <f t="shared" si="6"/>
        <v>5511146</v>
      </c>
      <c r="AC15" s="20">
        <f t="shared" si="7"/>
        <v>7480375</v>
      </c>
      <c r="AD15" s="20">
        <f t="shared" si="8"/>
        <v>5511146</v>
      </c>
      <c r="AE15" s="16"/>
      <c r="AF15" s="20"/>
      <c r="AG15" s="20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4.25">
      <c r="A16" s="107" t="s">
        <v>14</v>
      </c>
      <c r="B16" s="25">
        <v>1550796</v>
      </c>
      <c r="C16" s="25">
        <v>1189181</v>
      </c>
      <c r="D16" s="26">
        <f t="shared" si="9"/>
        <v>72.84282207670657</v>
      </c>
      <c r="E16" s="25">
        <v>1578</v>
      </c>
      <c r="F16" s="38">
        <v>385768</v>
      </c>
      <c r="G16" s="26">
        <f t="shared" si="10"/>
        <v>44.93339219342763</v>
      </c>
      <c r="H16" s="38">
        <v>472765</v>
      </c>
      <c r="I16" s="26">
        <f t="shared" si="1"/>
        <v>55.06660780657237</v>
      </c>
      <c r="J16" s="25">
        <v>2609</v>
      </c>
      <c r="K16" s="25">
        <v>5074</v>
      </c>
      <c r="L16" s="25">
        <v>17</v>
      </c>
      <c r="M16" s="25">
        <f t="shared" si="2"/>
        <v>866233</v>
      </c>
      <c r="N16" s="25">
        <f t="shared" si="0"/>
        <v>322948</v>
      </c>
      <c r="O16" s="16"/>
      <c r="P16" s="16"/>
      <c r="Q16" s="16"/>
      <c r="R16" s="16"/>
      <c r="S16" s="16"/>
      <c r="T16" s="16"/>
      <c r="U16" s="16"/>
      <c r="V16" s="16"/>
      <c r="W16" s="34">
        <f t="shared" si="3"/>
        <v>44.93339219342763</v>
      </c>
      <c r="X16" s="34">
        <f t="shared" si="4"/>
        <v>55.06660780657237</v>
      </c>
      <c r="Y16" s="34">
        <f t="shared" si="5"/>
        <v>100</v>
      </c>
      <c r="Z16" s="16"/>
      <c r="AA16" s="16"/>
      <c r="AB16" s="20">
        <f t="shared" si="6"/>
        <v>858533</v>
      </c>
      <c r="AC16" s="20">
        <f t="shared" si="7"/>
        <v>1189181</v>
      </c>
      <c r="AD16" s="20">
        <f t="shared" si="8"/>
        <v>858533</v>
      </c>
      <c r="AE16" s="16"/>
      <c r="AF16" s="20"/>
      <c r="AG16" s="20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4.25">
      <c r="A17" s="107" t="s">
        <v>17</v>
      </c>
      <c r="B17" s="25">
        <v>313348</v>
      </c>
      <c r="C17" s="25">
        <v>256600</v>
      </c>
      <c r="D17" s="26">
        <f t="shared" si="9"/>
        <v>63.92751363990647</v>
      </c>
      <c r="E17" s="25">
        <v>393</v>
      </c>
      <c r="F17" s="38">
        <v>63695</v>
      </c>
      <c r="G17" s="26">
        <f t="shared" si="10"/>
        <v>39.21550519323002</v>
      </c>
      <c r="H17" s="38">
        <v>98728</v>
      </c>
      <c r="I17" s="26">
        <f t="shared" si="1"/>
        <v>60.78449480676998</v>
      </c>
      <c r="J17" s="25">
        <v>532</v>
      </c>
      <c r="K17" s="25">
        <v>1072</v>
      </c>
      <c r="L17" s="25">
        <v>11</v>
      </c>
      <c r="M17" s="25">
        <f t="shared" si="2"/>
        <v>164038</v>
      </c>
      <c r="N17" s="25">
        <f t="shared" si="0"/>
        <v>92562</v>
      </c>
      <c r="O17" s="16"/>
      <c r="P17" s="16"/>
      <c r="Q17" s="16"/>
      <c r="R17" s="16"/>
      <c r="S17" s="16"/>
      <c r="T17" s="16"/>
      <c r="U17" s="16"/>
      <c r="V17" s="16"/>
      <c r="W17" s="34">
        <f t="shared" si="3"/>
        <v>39.21550519323002</v>
      </c>
      <c r="X17" s="34">
        <f t="shared" si="4"/>
        <v>60.78449480676998</v>
      </c>
      <c r="Y17" s="34">
        <f t="shared" si="5"/>
        <v>100</v>
      </c>
      <c r="Z17" s="16"/>
      <c r="AA17" s="16"/>
      <c r="AB17" s="20">
        <f t="shared" si="6"/>
        <v>162423</v>
      </c>
      <c r="AC17" s="20">
        <f t="shared" si="7"/>
        <v>256600</v>
      </c>
      <c r="AD17" s="20">
        <f t="shared" si="8"/>
        <v>162423</v>
      </c>
      <c r="AE17" s="16"/>
      <c r="AF17" s="20"/>
      <c r="AG17" s="20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4.25">
      <c r="A18" s="107" t="s">
        <v>0</v>
      </c>
      <c r="B18" s="25">
        <v>4424170</v>
      </c>
      <c r="C18" s="25">
        <v>3396378</v>
      </c>
      <c r="D18" s="26">
        <f t="shared" si="9"/>
        <v>72.03744695083998</v>
      </c>
      <c r="E18" s="25">
        <v>4822</v>
      </c>
      <c r="F18" s="38">
        <v>1055022</v>
      </c>
      <c r="G18" s="26">
        <f t="shared" si="10"/>
        <v>43.53209135359287</v>
      </c>
      <c r="H18" s="38">
        <v>1368528</v>
      </c>
      <c r="I18" s="26">
        <f t="shared" si="1"/>
        <v>56.46790864640713</v>
      </c>
      <c r="J18" s="25">
        <v>6197</v>
      </c>
      <c r="K18" s="25">
        <v>16850</v>
      </c>
      <c r="L18" s="25">
        <v>67</v>
      </c>
      <c r="M18" s="25">
        <f t="shared" si="2"/>
        <v>2446664</v>
      </c>
      <c r="N18" s="25">
        <f t="shared" si="0"/>
        <v>949714</v>
      </c>
      <c r="O18" s="16"/>
      <c r="P18" s="16"/>
      <c r="Q18" s="16"/>
      <c r="R18" s="16"/>
      <c r="S18" s="16"/>
      <c r="T18" s="16"/>
      <c r="U18" s="16"/>
      <c r="V18" s="16"/>
      <c r="W18" s="34">
        <f t="shared" si="3"/>
        <v>43.53209135359287</v>
      </c>
      <c r="X18" s="34">
        <f t="shared" si="4"/>
        <v>56.46790864640713</v>
      </c>
      <c r="Y18" s="34">
        <f t="shared" si="5"/>
        <v>100</v>
      </c>
      <c r="Z18" s="16"/>
      <c r="AA18" s="16"/>
      <c r="AB18" s="20">
        <f t="shared" si="6"/>
        <v>2423550</v>
      </c>
      <c r="AC18" s="20">
        <f t="shared" si="7"/>
        <v>3396378</v>
      </c>
      <c r="AD18" s="20">
        <f t="shared" si="8"/>
        <v>2423550</v>
      </c>
      <c r="AE18" s="16"/>
      <c r="AF18" s="20"/>
      <c r="AG18" s="20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4.25">
      <c r="A19" s="107" t="s">
        <v>19</v>
      </c>
      <c r="B19" s="25">
        <v>4090105</v>
      </c>
      <c r="C19" s="25">
        <v>3280712</v>
      </c>
      <c r="D19" s="26">
        <f t="shared" si="9"/>
        <v>61.713768230798685</v>
      </c>
      <c r="E19" s="25">
        <v>4022</v>
      </c>
      <c r="F19" s="38">
        <v>659354</v>
      </c>
      <c r="G19" s="26">
        <f t="shared" si="10"/>
        <v>32.83754837700773</v>
      </c>
      <c r="H19" s="38">
        <v>1348573</v>
      </c>
      <c r="I19" s="26">
        <f t="shared" si="1"/>
        <v>67.16245162299226</v>
      </c>
      <c r="J19" s="25">
        <v>4191</v>
      </c>
      <c r="K19" s="25">
        <v>12434</v>
      </c>
      <c r="L19" s="25">
        <v>99</v>
      </c>
      <c r="M19" s="25">
        <f t="shared" si="2"/>
        <v>2024651</v>
      </c>
      <c r="N19" s="25">
        <f t="shared" si="0"/>
        <v>1256061</v>
      </c>
      <c r="O19" s="16"/>
      <c r="P19" s="16"/>
      <c r="Q19" s="16"/>
      <c r="R19" s="16"/>
      <c r="S19" s="16"/>
      <c r="T19" s="16"/>
      <c r="U19" s="16"/>
      <c r="V19" s="16"/>
      <c r="W19" s="34">
        <f t="shared" si="3"/>
        <v>32.83754837700773</v>
      </c>
      <c r="X19" s="34">
        <f t="shared" si="4"/>
        <v>67.16245162299226</v>
      </c>
      <c r="Y19" s="34">
        <f t="shared" si="5"/>
        <v>100</v>
      </c>
      <c r="Z19" s="16"/>
      <c r="AA19" s="16"/>
      <c r="AB19" s="20">
        <f t="shared" si="6"/>
        <v>2007927</v>
      </c>
      <c r="AC19" s="20">
        <f t="shared" si="7"/>
        <v>3280712</v>
      </c>
      <c r="AD19" s="20">
        <f t="shared" si="8"/>
        <v>2007927</v>
      </c>
      <c r="AE19" s="16"/>
      <c r="AF19" s="20"/>
      <c r="AG19" s="20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4.25">
      <c r="A20" s="107" t="s">
        <v>24</v>
      </c>
      <c r="B20" s="25">
        <v>1663286</v>
      </c>
      <c r="C20" s="25">
        <v>1375735</v>
      </c>
      <c r="D20" s="26">
        <f t="shared" si="9"/>
        <v>62.4508353716377</v>
      </c>
      <c r="E20" s="25">
        <v>1835</v>
      </c>
      <c r="F20" s="38">
        <v>237280</v>
      </c>
      <c r="G20" s="26">
        <f t="shared" si="10"/>
        <v>27.782233561378387</v>
      </c>
      <c r="H20" s="38">
        <v>616791</v>
      </c>
      <c r="I20" s="26">
        <f t="shared" si="1"/>
        <v>72.21776643862161</v>
      </c>
      <c r="J20" s="25">
        <v>1335</v>
      </c>
      <c r="K20" s="25">
        <v>3732</v>
      </c>
      <c r="L20" s="25">
        <v>20</v>
      </c>
      <c r="M20" s="25">
        <f t="shared" si="2"/>
        <v>859158</v>
      </c>
      <c r="N20" s="25">
        <f t="shared" si="0"/>
        <v>516577</v>
      </c>
      <c r="O20" s="16"/>
      <c r="P20" s="16"/>
      <c r="Q20" s="16"/>
      <c r="R20" s="16"/>
      <c r="S20" s="16"/>
      <c r="T20" s="16"/>
      <c r="U20" s="16"/>
      <c r="V20" s="16"/>
      <c r="W20" s="34">
        <f t="shared" si="3"/>
        <v>27.782233561378387</v>
      </c>
      <c r="X20" s="34">
        <f t="shared" si="4"/>
        <v>72.21776643862161</v>
      </c>
      <c r="Y20" s="34">
        <f t="shared" si="5"/>
        <v>100</v>
      </c>
      <c r="Z20" s="16"/>
      <c r="AA20" s="16"/>
      <c r="AB20" s="20">
        <f t="shared" si="6"/>
        <v>854071</v>
      </c>
      <c r="AC20" s="20">
        <f t="shared" si="7"/>
        <v>1375735</v>
      </c>
      <c r="AD20" s="20">
        <f t="shared" si="8"/>
        <v>854071</v>
      </c>
      <c r="AE20" s="16"/>
      <c r="AF20" s="20"/>
      <c r="AG20" s="20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4.25">
      <c r="A21" s="107" t="s">
        <v>23</v>
      </c>
      <c r="B21" s="25">
        <v>5092100</v>
      </c>
      <c r="C21" s="25">
        <v>4031871</v>
      </c>
      <c r="D21" s="26">
        <f t="shared" si="9"/>
        <v>56.654937620772095</v>
      </c>
      <c r="E21" s="25">
        <v>5300</v>
      </c>
      <c r="F21" s="38">
        <v>642713</v>
      </c>
      <c r="G21" s="26">
        <f t="shared" si="10"/>
        <v>28.403337799760298</v>
      </c>
      <c r="H21" s="38">
        <v>1620095</v>
      </c>
      <c r="I21" s="26">
        <f t="shared" si="1"/>
        <v>71.5966622002397</v>
      </c>
      <c r="J21" s="25">
        <v>4458</v>
      </c>
      <c r="K21" s="25">
        <v>16887</v>
      </c>
      <c r="L21" s="25">
        <v>101</v>
      </c>
      <c r="M21" s="25">
        <f t="shared" si="2"/>
        <v>2284254</v>
      </c>
      <c r="N21" s="25">
        <f t="shared" si="0"/>
        <v>1747617</v>
      </c>
      <c r="O21" s="16"/>
      <c r="P21" s="16"/>
      <c r="Q21" s="16"/>
      <c r="R21" s="16"/>
      <c r="S21" s="16"/>
      <c r="T21" s="16"/>
      <c r="U21" s="16"/>
      <c r="V21" s="16"/>
      <c r="W21" s="34">
        <f t="shared" si="3"/>
        <v>28.403337799760298</v>
      </c>
      <c r="X21" s="34">
        <f t="shared" si="4"/>
        <v>71.5966622002397</v>
      </c>
      <c r="Y21" s="34">
        <f t="shared" si="5"/>
        <v>100</v>
      </c>
      <c r="Z21" s="16"/>
      <c r="AA21" s="16"/>
      <c r="AB21" s="20">
        <f t="shared" si="6"/>
        <v>2262808</v>
      </c>
      <c r="AC21" s="20">
        <f t="shared" si="7"/>
        <v>4031871</v>
      </c>
      <c r="AD21" s="20">
        <f t="shared" si="8"/>
        <v>2262808</v>
      </c>
      <c r="AE21" s="16"/>
      <c r="AF21" s="20"/>
      <c r="AG21" s="20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4.25">
      <c r="A22" s="107" t="s">
        <v>12</v>
      </c>
      <c r="B22" s="25">
        <v>3752686</v>
      </c>
      <c r="C22" s="25">
        <v>2854129</v>
      </c>
      <c r="D22" s="26">
        <f t="shared" si="9"/>
        <v>74.4553942726485</v>
      </c>
      <c r="E22" s="25">
        <v>3958</v>
      </c>
      <c r="F22" s="38">
        <v>1105769</v>
      </c>
      <c r="G22" s="26">
        <f t="shared" si="10"/>
        <v>52.51121082621759</v>
      </c>
      <c r="H22" s="38">
        <v>1000008</v>
      </c>
      <c r="I22" s="26">
        <f t="shared" si="1"/>
        <v>47.48878917378241</v>
      </c>
      <c r="J22" s="25">
        <v>5935</v>
      </c>
      <c r="K22" s="25">
        <v>13287</v>
      </c>
      <c r="L22" s="25">
        <v>54</v>
      </c>
      <c r="M22" s="25">
        <f t="shared" si="2"/>
        <v>2125053</v>
      </c>
      <c r="N22" s="25">
        <f t="shared" si="0"/>
        <v>729076</v>
      </c>
      <c r="O22" s="16"/>
      <c r="P22" s="16"/>
      <c r="Q22" s="16"/>
      <c r="R22" s="16"/>
      <c r="S22" s="16"/>
      <c r="T22" s="16"/>
      <c r="U22" s="16"/>
      <c r="V22" s="16"/>
      <c r="W22" s="34">
        <f t="shared" si="3"/>
        <v>52.51121082621759</v>
      </c>
      <c r="X22" s="34">
        <f t="shared" si="4"/>
        <v>47.48878917378241</v>
      </c>
      <c r="Y22" s="34">
        <f t="shared" si="5"/>
        <v>100</v>
      </c>
      <c r="Z22" s="16"/>
      <c r="AA22" s="16"/>
      <c r="AB22" s="20">
        <f t="shared" si="6"/>
        <v>2105777</v>
      </c>
      <c r="AC22" s="20">
        <f t="shared" si="7"/>
        <v>2854129</v>
      </c>
      <c r="AD22" s="20">
        <f t="shared" si="8"/>
        <v>2105777</v>
      </c>
      <c r="AE22" s="16"/>
      <c r="AF22" s="20"/>
      <c r="AG22" s="20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4.25">
      <c r="A23" s="107" t="s">
        <v>46</v>
      </c>
      <c r="B23" s="25">
        <v>1058194</v>
      </c>
      <c r="C23" s="25">
        <v>792504</v>
      </c>
      <c r="D23" s="26">
        <f t="shared" si="9"/>
        <v>72.23761646628914</v>
      </c>
      <c r="E23" s="25">
        <v>1015</v>
      </c>
      <c r="F23" s="38">
        <v>305322</v>
      </c>
      <c r="G23" s="26">
        <f t="shared" si="10"/>
        <v>53.86815338879136</v>
      </c>
      <c r="H23" s="38">
        <v>261473</v>
      </c>
      <c r="I23" s="26">
        <f t="shared" si="1"/>
        <v>46.13184661120864</v>
      </c>
      <c r="J23" s="25">
        <v>2698</v>
      </c>
      <c r="K23" s="25">
        <v>2985</v>
      </c>
      <c r="L23" s="25">
        <v>8</v>
      </c>
      <c r="M23" s="25">
        <f t="shared" si="2"/>
        <v>572486</v>
      </c>
      <c r="N23" s="25">
        <f t="shared" si="0"/>
        <v>220018</v>
      </c>
      <c r="O23" s="16"/>
      <c r="P23" s="16"/>
      <c r="Q23" s="16"/>
      <c r="R23" s="16"/>
      <c r="S23" s="16"/>
      <c r="T23" s="16"/>
      <c r="U23" s="16"/>
      <c r="V23" s="16"/>
      <c r="W23" s="34">
        <f t="shared" si="3"/>
        <v>53.86815338879136</v>
      </c>
      <c r="X23" s="34">
        <f t="shared" si="4"/>
        <v>46.13184661120864</v>
      </c>
      <c r="Y23" s="34">
        <f t="shared" si="5"/>
        <v>100</v>
      </c>
      <c r="Z23" s="16"/>
      <c r="AA23" s="16"/>
      <c r="AB23" s="20">
        <f t="shared" si="6"/>
        <v>566795</v>
      </c>
      <c r="AC23" s="20">
        <f t="shared" si="7"/>
        <v>792504</v>
      </c>
      <c r="AD23" s="20">
        <f t="shared" si="8"/>
        <v>566795</v>
      </c>
      <c r="AE23" s="16"/>
      <c r="AF23" s="20"/>
      <c r="AG23" s="20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4.25">
      <c r="A24" s="107" t="s">
        <v>13</v>
      </c>
      <c r="B24" s="25">
        <v>894762</v>
      </c>
      <c r="C24" s="25">
        <v>675610</v>
      </c>
      <c r="D24" s="26">
        <f t="shared" si="9"/>
        <v>73.47522979233581</v>
      </c>
      <c r="E24" s="25">
        <v>1007</v>
      </c>
      <c r="F24" s="38">
        <v>240346</v>
      </c>
      <c r="G24" s="26">
        <f t="shared" si="10"/>
        <v>48.825606292686295</v>
      </c>
      <c r="H24" s="38">
        <v>251908</v>
      </c>
      <c r="I24" s="26">
        <f t="shared" si="1"/>
        <v>51.174393707313705</v>
      </c>
      <c r="J24" s="25">
        <v>1267</v>
      </c>
      <c r="K24" s="25">
        <v>2871</v>
      </c>
      <c r="L24" s="25">
        <v>14</v>
      </c>
      <c r="M24" s="25">
        <f t="shared" si="2"/>
        <v>496406</v>
      </c>
      <c r="N24" s="25">
        <f t="shared" si="0"/>
        <v>179204</v>
      </c>
      <c r="O24" s="16"/>
      <c r="P24" s="16"/>
      <c r="Q24" s="16"/>
      <c r="R24" s="16"/>
      <c r="S24" s="16"/>
      <c r="T24" s="16"/>
      <c r="U24" s="16"/>
      <c r="V24" s="16"/>
      <c r="W24" s="34">
        <f t="shared" si="3"/>
        <v>48.825606292686295</v>
      </c>
      <c r="X24" s="34">
        <f t="shared" si="4"/>
        <v>51.174393707313705</v>
      </c>
      <c r="Y24" s="34">
        <f t="shared" si="5"/>
        <v>100</v>
      </c>
      <c r="Z24" s="16"/>
      <c r="AA24" s="16"/>
      <c r="AB24" s="20">
        <f t="shared" si="6"/>
        <v>492254</v>
      </c>
      <c r="AC24" s="20">
        <f t="shared" si="7"/>
        <v>675610</v>
      </c>
      <c r="AD24" s="20">
        <f t="shared" si="8"/>
        <v>492254</v>
      </c>
      <c r="AE24" s="16"/>
      <c r="AF24" s="20"/>
      <c r="AG24" s="20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4.25">
      <c r="A25" s="107" t="s">
        <v>6</v>
      </c>
      <c r="B25" s="25">
        <v>128298</v>
      </c>
      <c r="C25" s="25">
        <v>99735</v>
      </c>
      <c r="D25" s="26">
        <f t="shared" si="9"/>
        <v>71.90755502080513</v>
      </c>
      <c r="E25" s="25">
        <v>151</v>
      </c>
      <c r="F25" s="38">
        <v>30568</v>
      </c>
      <c r="G25" s="26">
        <f t="shared" si="10"/>
        <v>43.245996265067056</v>
      </c>
      <c r="H25" s="38">
        <v>40116</v>
      </c>
      <c r="I25" s="26">
        <f t="shared" si="1"/>
        <v>56.754003734932944</v>
      </c>
      <c r="J25" s="25">
        <v>361</v>
      </c>
      <c r="K25" s="25">
        <v>671</v>
      </c>
      <c r="L25" s="27">
        <v>1</v>
      </c>
      <c r="M25" s="25">
        <f t="shared" si="2"/>
        <v>71717</v>
      </c>
      <c r="N25" s="25">
        <f t="shared" si="0"/>
        <v>28018</v>
      </c>
      <c r="O25" s="16"/>
      <c r="P25" s="16"/>
      <c r="Q25" s="16"/>
      <c r="R25" s="16"/>
      <c r="S25" s="16"/>
      <c r="T25" s="16"/>
      <c r="U25" s="16"/>
      <c r="V25" s="16"/>
      <c r="W25" s="34">
        <f t="shared" si="3"/>
        <v>43.245996265067056</v>
      </c>
      <c r="X25" s="34">
        <f t="shared" si="4"/>
        <v>56.754003734932944</v>
      </c>
      <c r="Y25" s="34">
        <f t="shared" si="5"/>
        <v>100</v>
      </c>
      <c r="Z25" s="16"/>
      <c r="AA25" s="16"/>
      <c r="AB25" s="20">
        <f t="shared" si="6"/>
        <v>70684</v>
      </c>
      <c r="AC25" s="20">
        <f t="shared" si="7"/>
        <v>99735</v>
      </c>
      <c r="AD25" s="20">
        <f t="shared" si="8"/>
        <v>70684</v>
      </c>
      <c r="AE25" s="16"/>
      <c r="AF25" s="20"/>
      <c r="AG25" s="20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4.25">
      <c r="A26" s="119" t="s">
        <v>8</v>
      </c>
      <c r="B26" s="29">
        <v>4927879</v>
      </c>
      <c r="C26" s="29">
        <v>3725400</v>
      </c>
      <c r="D26" s="30">
        <f t="shared" si="9"/>
        <v>76.66422397594889</v>
      </c>
      <c r="E26" s="29">
        <v>4738</v>
      </c>
      <c r="F26" s="80">
        <v>1078561</v>
      </c>
      <c r="G26" s="30">
        <f t="shared" si="10"/>
        <v>38.0441173928855</v>
      </c>
      <c r="H26" s="80">
        <v>1756466</v>
      </c>
      <c r="I26" s="30">
        <f t="shared" si="1"/>
        <v>61.9558826071145</v>
      </c>
      <c r="J26" s="29">
        <v>6381</v>
      </c>
      <c r="K26" s="29">
        <v>14590</v>
      </c>
      <c r="L26" s="29">
        <v>51</v>
      </c>
      <c r="M26" s="29">
        <f t="shared" si="2"/>
        <v>2856049</v>
      </c>
      <c r="N26" s="25">
        <f t="shared" si="0"/>
        <v>869351</v>
      </c>
      <c r="O26" s="16"/>
      <c r="P26" s="16"/>
      <c r="Q26" s="16"/>
      <c r="R26" s="16"/>
      <c r="S26" s="16"/>
      <c r="T26" s="16"/>
      <c r="U26" s="16"/>
      <c r="V26" s="16"/>
      <c r="W26" s="34">
        <f t="shared" si="3"/>
        <v>38.0441173928855</v>
      </c>
      <c r="X26" s="34">
        <f t="shared" si="4"/>
        <v>61.9558826071145</v>
      </c>
      <c r="Y26" s="34">
        <f t="shared" si="5"/>
        <v>100</v>
      </c>
      <c r="Z26" s="16"/>
      <c r="AA26" s="16"/>
      <c r="AB26" s="20">
        <f t="shared" si="6"/>
        <v>2835027</v>
      </c>
      <c r="AC26" s="20">
        <f t="shared" si="7"/>
        <v>3725400</v>
      </c>
      <c r="AD26" s="20">
        <f t="shared" si="8"/>
        <v>2835027</v>
      </c>
      <c r="AE26" s="16"/>
      <c r="AF26" s="20"/>
      <c r="AG26" s="20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4.25">
      <c r="A27" s="31" t="s">
        <v>26</v>
      </c>
      <c r="B27" s="32">
        <f>SUM(B7:B26)</f>
        <v>60797634</v>
      </c>
      <c r="C27" s="32">
        <f>SUM(C7:C26)</f>
        <v>46720943</v>
      </c>
      <c r="D27" s="33">
        <f>ROUND(M27/C27*100,2)</f>
        <v>68.49</v>
      </c>
      <c r="E27" s="32">
        <f>SUM(E7:E26)</f>
        <v>61551</v>
      </c>
      <c r="F27" s="32">
        <f>SUM(F7:F26)</f>
        <v>12708467</v>
      </c>
      <c r="G27" s="33">
        <f t="shared" si="10"/>
        <v>40.045853148732135</v>
      </c>
      <c r="H27" s="32">
        <f>SUM(H7:H26)</f>
        <v>19026322</v>
      </c>
      <c r="I27" s="33">
        <f t="shared" si="1"/>
        <v>59.954146851267865</v>
      </c>
      <c r="J27" s="32">
        <f>SUM(J7:J26)</f>
        <v>74120</v>
      </c>
      <c r="K27" s="32">
        <f>SUM(K7:K26)</f>
        <v>187779</v>
      </c>
      <c r="L27" s="32">
        <f>SUM(L7:L26)</f>
        <v>1228</v>
      </c>
      <c r="M27" s="32">
        <f t="shared" si="2"/>
        <v>31997916</v>
      </c>
      <c r="N27" s="32">
        <f t="shared" si="0"/>
        <v>14723027</v>
      </c>
      <c r="O27" s="16"/>
      <c r="P27" s="16"/>
      <c r="Q27" s="16"/>
      <c r="R27" s="16"/>
      <c r="S27" s="16"/>
      <c r="T27" s="16"/>
      <c r="U27" s="16"/>
      <c r="V27" s="16"/>
      <c r="W27" s="34">
        <f t="shared" si="3"/>
        <v>40.045853148732135</v>
      </c>
      <c r="X27" s="34">
        <f t="shared" si="4"/>
        <v>59.954146851267865</v>
      </c>
      <c r="Y27" s="34">
        <f t="shared" si="5"/>
        <v>100</v>
      </c>
      <c r="Z27" s="16"/>
      <c r="AA27" s="16"/>
      <c r="AB27" s="20">
        <f t="shared" si="6"/>
        <v>31734789</v>
      </c>
      <c r="AC27" s="20">
        <f t="shared" si="7"/>
        <v>46720943</v>
      </c>
      <c r="AD27" s="20">
        <f t="shared" si="8"/>
        <v>31734789</v>
      </c>
      <c r="AE27" s="16"/>
      <c r="AF27" s="34">
        <f>D27</f>
        <v>68.49</v>
      </c>
      <c r="AG27" s="20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4.25">
      <c r="A28" s="35" t="s">
        <v>27</v>
      </c>
      <c r="B28" s="36">
        <f>C28</f>
        <v>4052341</v>
      </c>
      <c r="C28" s="36">
        <v>4052341</v>
      </c>
      <c r="D28" s="37">
        <f>(M28/C28)*100</f>
        <v>30.756098758717492</v>
      </c>
      <c r="E28" s="36">
        <v>1618</v>
      </c>
      <c r="F28" s="36">
        <v>722915</v>
      </c>
      <c r="G28" s="37">
        <f t="shared" si="10"/>
        <v>64.70062819793381</v>
      </c>
      <c r="H28" s="36">
        <v>394408</v>
      </c>
      <c r="I28" s="37">
        <f t="shared" si="1"/>
        <v>35.29937180206619</v>
      </c>
      <c r="J28" s="36">
        <v>9298</v>
      </c>
      <c r="K28" s="36">
        <v>119188</v>
      </c>
      <c r="L28" s="36">
        <v>533</v>
      </c>
      <c r="M28" s="36">
        <f t="shared" si="2"/>
        <v>1246342</v>
      </c>
      <c r="N28" s="36">
        <f t="shared" si="0"/>
        <v>2805999</v>
      </c>
      <c r="O28" s="16"/>
      <c r="P28" s="16"/>
      <c r="Q28" s="16"/>
      <c r="R28" s="16"/>
      <c r="S28" s="16"/>
      <c r="T28" s="16"/>
      <c r="U28" s="16"/>
      <c r="V28" s="16"/>
      <c r="W28" s="34">
        <f t="shared" si="3"/>
        <v>64.70062819793381</v>
      </c>
      <c r="X28" s="34">
        <f t="shared" si="4"/>
        <v>35.29937180206619</v>
      </c>
      <c r="Y28" s="34">
        <f t="shared" si="5"/>
        <v>100</v>
      </c>
      <c r="Z28" s="16"/>
      <c r="AA28" s="16"/>
      <c r="AB28" s="20">
        <f t="shared" si="6"/>
        <v>1117323</v>
      </c>
      <c r="AC28" s="20">
        <f t="shared" si="7"/>
        <v>4052341</v>
      </c>
      <c r="AD28" s="20">
        <f t="shared" si="8"/>
        <v>1117323</v>
      </c>
      <c r="AE28" s="16"/>
      <c r="AF28" s="34">
        <v>19.74</v>
      </c>
      <c r="AG28" s="20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4.25">
      <c r="A29" s="120" t="s">
        <v>28</v>
      </c>
      <c r="B29" s="38">
        <f>B27+B28</f>
        <v>64849975</v>
      </c>
      <c r="C29" s="38">
        <f aca="true" t="shared" si="11" ref="C29:M29">C27+C28</f>
        <v>50773284</v>
      </c>
      <c r="D29" s="39">
        <f>(M29/C29)*100</f>
        <v>65.47588688570943</v>
      </c>
      <c r="E29" s="38">
        <f t="shared" si="11"/>
        <v>63169</v>
      </c>
      <c r="F29" s="38">
        <f t="shared" si="11"/>
        <v>13431382</v>
      </c>
      <c r="G29" s="39">
        <f t="shared" si="10"/>
        <v>40.88437906214371</v>
      </c>
      <c r="H29" s="38">
        <f t="shared" si="11"/>
        <v>19420730</v>
      </c>
      <c r="I29" s="39">
        <f t="shared" si="1"/>
        <v>59.11562093785629</v>
      </c>
      <c r="J29" s="38">
        <f t="shared" si="11"/>
        <v>83418</v>
      </c>
      <c r="K29" s="38">
        <f t="shared" si="11"/>
        <v>306967</v>
      </c>
      <c r="L29" s="38">
        <f t="shared" si="11"/>
        <v>1761</v>
      </c>
      <c r="M29" s="38">
        <f t="shared" si="11"/>
        <v>33244258</v>
      </c>
      <c r="N29" s="38">
        <f t="shared" si="0"/>
        <v>17529026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20">
        <f t="shared" si="6"/>
        <v>32852112</v>
      </c>
      <c r="AC29" s="20">
        <f t="shared" si="7"/>
        <v>50773284</v>
      </c>
      <c r="AD29" s="20">
        <f t="shared" si="8"/>
        <v>32852112</v>
      </c>
      <c r="AE29" s="16"/>
      <c r="AF29" s="34">
        <f>AF27+AF28</f>
        <v>88.22999999999999</v>
      </c>
      <c r="AG29" s="20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.5" customHeight="1">
      <c r="A30" s="40"/>
      <c r="B30" s="4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41"/>
      <c r="N30" s="4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20"/>
      <c r="AC30" s="16"/>
      <c r="AD30" s="16"/>
      <c r="AE30" s="16"/>
      <c r="AF30" s="16">
        <f>HARMEAN(C29:AF29)/M29</f>
        <v>7.017747506642604E-06</v>
      </c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.5" customHeight="1">
      <c r="A31" s="40"/>
      <c r="B31" s="40"/>
      <c r="C31" s="40"/>
      <c r="D31" s="43"/>
      <c r="E31" s="15"/>
      <c r="F31" s="15"/>
      <c r="G31" s="43"/>
      <c r="H31" s="15"/>
      <c r="I31" s="43"/>
      <c r="J31" s="15"/>
      <c r="K31" s="15"/>
      <c r="L31" s="15"/>
      <c r="M31" s="41"/>
      <c r="N31" s="4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20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.5" customHeight="1">
      <c r="A32" s="40"/>
      <c r="B32" s="15"/>
      <c r="C32" s="15"/>
      <c r="D32" s="15"/>
      <c r="E32" s="15"/>
      <c r="F32" s="15"/>
      <c r="G32" s="43"/>
      <c r="H32" s="15"/>
      <c r="I32" s="43"/>
      <c r="J32" s="15"/>
      <c r="K32" s="15"/>
      <c r="L32" s="15"/>
      <c r="M32" s="41"/>
      <c r="N32" s="4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20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14.25">
      <c r="A33" s="208" t="str">
        <f>A29</f>
        <v>totale Italia+Estero</v>
      </c>
      <c r="B33" s="192" t="s">
        <v>25</v>
      </c>
      <c r="C33" s="193"/>
      <c r="D33" s="108" t="s">
        <v>66</v>
      </c>
      <c r="E33" s="108" t="s">
        <v>69</v>
      </c>
      <c r="F33" s="206" t="s">
        <v>62</v>
      </c>
      <c r="G33" s="179" t="s">
        <v>25</v>
      </c>
      <c r="H33" s="200" t="s">
        <v>29</v>
      </c>
      <c r="I33" s="205" t="s">
        <v>66</v>
      </c>
      <c r="J33" s="109" t="s">
        <v>59</v>
      </c>
      <c r="K33" s="206" t="s">
        <v>62</v>
      </c>
      <c r="L33" s="110" t="s">
        <v>71</v>
      </c>
      <c r="M33" s="111" t="s">
        <v>72</v>
      </c>
      <c r="N33" s="112" t="s">
        <v>62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20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4.25">
      <c r="A34" s="191"/>
      <c r="B34" s="194"/>
      <c r="C34" s="201"/>
      <c r="D34" s="113" t="s">
        <v>68</v>
      </c>
      <c r="E34" s="114" t="s">
        <v>67</v>
      </c>
      <c r="F34" s="207"/>
      <c r="G34" s="194"/>
      <c r="H34" s="201"/>
      <c r="I34" s="201"/>
      <c r="J34" s="114" t="s">
        <v>29</v>
      </c>
      <c r="K34" s="207"/>
      <c r="L34" s="115">
        <f>C29</f>
        <v>50773284</v>
      </c>
      <c r="M34" s="113">
        <f>M29+N29</f>
        <v>50773284</v>
      </c>
      <c r="N34" s="116">
        <f>L34-M34</f>
        <v>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20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4.25">
      <c r="A35" s="191"/>
      <c r="B35" s="202">
        <f>C29</f>
        <v>50773284</v>
      </c>
      <c r="C35" s="199"/>
      <c r="D35" s="106">
        <f>B35*D29/100</f>
        <v>33244258.000000004</v>
      </c>
      <c r="E35" s="106">
        <f>M29</f>
        <v>33244258</v>
      </c>
      <c r="F35" s="118">
        <f>D35-E35</f>
        <v>0</v>
      </c>
      <c r="G35" s="117">
        <f>B35</f>
        <v>50773284</v>
      </c>
      <c r="H35" s="106">
        <f>E35</f>
        <v>33244258</v>
      </c>
      <c r="I35" s="106">
        <f>G35-H35</f>
        <v>17529026</v>
      </c>
      <c r="J35" s="106">
        <f>N29</f>
        <v>17529026</v>
      </c>
      <c r="K35" s="118">
        <f>I35-J35</f>
        <v>0</v>
      </c>
      <c r="L35" s="202" t="s">
        <v>70</v>
      </c>
      <c r="M35" s="203"/>
      <c r="N35" s="20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20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0.75" customHeight="1">
      <c r="A36" s="40"/>
      <c r="B36" s="40"/>
      <c r="C36" s="15"/>
      <c r="D36" s="15"/>
      <c r="E36" s="15"/>
      <c r="F36" s="15"/>
      <c r="G36" s="43"/>
      <c r="H36" s="15"/>
      <c r="I36" s="43"/>
      <c r="J36" s="15"/>
      <c r="K36" s="15"/>
      <c r="L36" s="15"/>
      <c r="M36" s="42"/>
      <c r="N36" s="4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20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4.5" customHeight="1">
      <c r="A37" s="40"/>
      <c r="B37" s="40"/>
      <c r="C37" s="15"/>
      <c r="D37" s="15"/>
      <c r="E37" s="15"/>
      <c r="F37" s="15"/>
      <c r="G37" s="43"/>
      <c r="H37" s="15"/>
      <c r="I37" s="43"/>
      <c r="J37" s="15"/>
      <c r="K37" s="15"/>
      <c r="L37" s="15"/>
      <c r="M37" s="42"/>
      <c r="N37" s="4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20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4.25" hidden="1">
      <c r="A38" s="46" t="s">
        <v>75</v>
      </c>
      <c r="B38" s="44" t="s">
        <v>156</v>
      </c>
      <c r="C38" s="44" t="s">
        <v>25</v>
      </c>
      <c r="D38" s="44" t="s">
        <v>76</v>
      </c>
      <c r="E38" s="44" t="s">
        <v>77</v>
      </c>
      <c r="F38" s="44" t="s">
        <v>78</v>
      </c>
      <c r="G38" s="45" t="s">
        <v>10</v>
      </c>
      <c r="H38" s="44" t="s">
        <v>79</v>
      </c>
      <c r="I38" s="45" t="s">
        <v>10</v>
      </c>
      <c r="J38" s="44" t="s">
        <v>31</v>
      </c>
      <c r="K38" s="44" t="s">
        <v>32</v>
      </c>
      <c r="L38" s="44" t="s">
        <v>38</v>
      </c>
      <c r="M38" s="51" t="s">
        <v>29</v>
      </c>
      <c r="N38" s="52" t="s">
        <v>61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20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4.25" hidden="1">
      <c r="A39" s="53" t="s">
        <v>74</v>
      </c>
      <c r="B39" s="49">
        <v>9173</v>
      </c>
      <c r="C39" s="49">
        <v>7134</v>
      </c>
      <c r="D39" s="54">
        <f>(M39/C39)*100</f>
        <v>46.43958508550603</v>
      </c>
      <c r="E39" s="49">
        <v>11</v>
      </c>
      <c r="F39" s="49">
        <v>1014</v>
      </c>
      <c r="G39" s="54">
        <v>31</v>
      </c>
      <c r="H39" s="49">
        <v>2263</v>
      </c>
      <c r="I39" s="54">
        <v>69</v>
      </c>
      <c r="J39" s="49">
        <v>9</v>
      </c>
      <c r="K39" s="49">
        <v>27</v>
      </c>
      <c r="L39" s="49">
        <v>0</v>
      </c>
      <c r="M39" s="49">
        <v>3313</v>
      </c>
      <c r="N39" s="50">
        <f>C39-M39</f>
        <v>3821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20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51" ht="14.25">
      <c r="A40" s="55"/>
      <c r="B40" s="55"/>
      <c r="C40" s="56"/>
      <c r="D40" s="56"/>
      <c r="E40" s="56"/>
      <c r="F40" s="56"/>
      <c r="G40" s="57"/>
      <c r="H40" s="55"/>
      <c r="I40" s="57"/>
      <c r="J40" s="56"/>
      <c r="K40" s="56"/>
      <c r="L40" s="5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20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4.25">
      <c r="A41" s="55"/>
      <c r="B41" s="56"/>
      <c r="C41" s="56"/>
      <c r="D41" s="56"/>
      <c r="E41" s="20"/>
      <c r="F41" s="58"/>
      <c r="G41" s="3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20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4.25">
      <c r="A42" s="55"/>
      <c r="B42" s="55"/>
      <c r="C42" s="56"/>
      <c r="D42" s="56"/>
      <c r="E42" s="16"/>
      <c r="F42" s="16"/>
      <c r="G42" s="3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4.25">
      <c r="A43" s="56"/>
      <c r="B43" s="55"/>
      <c r="C43" s="56"/>
      <c r="D43" s="56"/>
      <c r="E43" s="16"/>
      <c r="F43" s="16"/>
      <c r="G43" s="34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4.25">
      <c r="A44" s="55"/>
      <c r="B44" s="55"/>
      <c r="C44" s="56"/>
      <c r="D44" s="56"/>
      <c r="E44" s="16"/>
      <c r="F44" s="16"/>
      <c r="G44" s="34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4.25">
      <c r="A45" s="55"/>
      <c r="B45" s="55"/>
      <c r="C45" s="56"/>
      <c r="D45" s="56"/>
      <c r="E45" s="16"/>
      <c r="F45" s="16"/>
      <c r="G45" s="34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4.25">
      <c r="A46" s="55"/>
      <c r="B46" s="55"/>
      <c r="C46" s="56"/>
      <c r="D46" s="5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4.25">
      <c r="A47" s="55"/>
      <c r="B47" s="55"/>
      <c r="C47" s="56"/>
      <c r="D47" s="5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14.25">
      <c r="A48" s="55"/>
      <c r="B48" s="55"/>
      <c r="C48" s="56"/>
      <c r="D48" s="5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4.25">
      <c r="A49" s="55"/>
      <c r="B49" s="55"/>
      <c r="C49" s="56"/>
      <c r="D49" s="5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14.25">
      <c r="A50" s="55"/>
      <c r="B50" s="55"/>
      <c r="C50" s="56"/>
      <c r="D50" s="5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14.25">
      <c r="A51" s="55"/>
      <c r="B51" s="55"/>
      <c r="C51" s="56"/>
      <c r="D51" s="5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ht="15">
      <c r="A52" s="55"/>
      <c r="B52" s="59"/>
      <c r="C52" s="56"/>
      <c r="D52" s="5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4.25">
      <c r="A53" s="55"/>
      <c r="B53" s="55"/>
      <c r="C53" s="56"/>
      <c r="D53" s="5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4.25">
      <c r="A54" s="55"/>
      <c r="B54" s="55"/>
      <c r="C54" s="56"/>
      <c r="D54" s="5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 ht="14.25">
      <c r="A100" s="16" t="str">
        <f>A7</f>
        <v>Abruzzo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ht="14.25">
      <c r="A101" s="16" t="str">
        <f aca="true" t="shared" si="12" ref="A101:A122">A8</f>
        <v>Basilicata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ht="14.25">
      <c r="A102" s="16" t="str">
        <f t="shared" si="12"/>
        <v>Calabria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 ht="14.25">
      <c r="A103" s="16" t="str">
        <f t="shared" si="12"/>
        <v>Campania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 ht="14.25">
      <c r="A104" s="16" t="str">
        <f t="shared" si="12"/>
        <v>Emilia Romagna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ht="14.25">
      <c r="A105" s="16" t="str">
        <f t="shared" si="12"/>
        <v>Friuli Venezia Giulia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1:51" ht="14.25">
      <c r="A106" s="16" t="str">
        <f t="shared" si="12"/>
        <v>Lazio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1:51" ht="14.25">
      <c r="A107" s="16" t="str">
        <f t="shared" si="12"/>
        <v>Liguria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1:51" ht="14.25">
      <c r="A108" s="16" t="str">
        <f t="shared" si="12"/>
        <v>Lombardia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1:51" ht="14.25">
      <c r="A109" s="16" t="str">
        <f t="shared" si="12"/>
        <v>Marche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1:51" ht="14.25">
      <c r="A110" s="16" t="str">
        <f t="shared" si="12"/>
        <v>Molise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1:51" ht="14.25">
      <c r="A111" s="16" t="str">
        <f t="shared" si="12"/>
        <v>Piemonte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1:51" ht="14.25">
      <c r="A112" s="16" t="str">
        <f t="shared" si="12"/>
        <v>Puglia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1:51" ht="14.25">
      <c r="A113" s="16" t="str">
        <f t="shared" si="12"/>
        <v>Sardegna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1:51" ht="14.25">
      <c r="A114" s="16" t="str">
        <f t="shared" si="12"/>
        <v>Sicilia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1:51" ht="14.25">
      <c r="A115" s="16" t="str">
        <f t="shared" si="12"/>
        <v>Toscana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</row>
    <row r="116" ht="14.25">
      <c r="A116" s="16" t="str">
        <f t="shared" si="12"/>
        <v>Trentino Alto Adige</v>
      </c>
    </row>
    <row r="117" ht="14.25">
      <c r="A117" s="16" t="str">
        <f t="shared" si="12"/>
        <v>Umbria</v>
      </c>
    </row>
    <row r="118" ht="14.25">
      <c r="A118" s="16" t="str">
        <f t="shared" si="12"/>
        <v>Valle D'Aosta</v>
      </c>
    </row>
    <row r="119" ht="14.25">
      <c r="A119" s="16" t="str">
        <f t="shared" si="12"/>
        <v>Veneto</v>
      </c>
    </row>
    <row r="120" ht="14.25">
      <c r="A120" s="16" t="str">
        <f t="shared" si="12"/>
        <v>totale Italia</v>
      </c>
    </row>
    <row r="121" ht="14.25">
      <c r="A121" s="16" t="str">
        <f t="shared" si="12"/>
        <v>totale Estero</v>
      </c>
    </row>
    <row r="122" ht="14.25">
      <c r="A122" s="16" t="str">
        <f t="shared" si="12"/>
        <v>totale Italia+Estero</v>
      </c>
    </row>
    <row r="123" ht="14.25">
      <c r="A123" s="16"/>
    </row>
    <row r="124" ht="14.25">
      <c r="A124" s="16"/>
    </row>
  </sheetData>
  <sheetProtection/>
  <mergeCells count="13">
    <mergeCell ref="A33:A35"/>
    <mergeCell ref="B33:C34"/>
    <mergeCell ref="A1:N4"/>
    <mergeCell ref="B35:C35"/>
    <mergeCell ref="B5:B6"/>
    <mergeCell ref="A5:A6"/>
    <mergeCell ref="C5:C6"/>
    <mergeCell ref="F33:F34"/>
    <mergeCell ref="G33:G34"/>
    <mergeCell ref="H33:H34"/>
    <mergeCell ref="L35:N35"/>
    <mergeCell ref="I33:I34"/>
    <mergeCell ref="K33:K34"/>
  </mergeCells>
  <dataValidations count="2">
    <dataValidation allowBlank="1" showInputMessage="1" showErrorMessage="1" prompt="Solo aventi diritto al voto" sqref="B28"/>
    <dataValidation allowBlank="1" showInputMessage="1" showErrorMessage="1" prompt="dato Istat 01/01/2016" sqref="B38"/>
  </dataValidations>
  <printOptions/>
  <pageMargins left="0.75" right="0.75" top="1" bottom="1" header="0.5" footer="0.5"/>
  <pageSetup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31"/>
  <sheetViews>
    <sheetView workbookViewId="0" topLeftCell="A1">
      <selection activeCell="D29" sqref="D29"/>
    </sheetView>
  </sheetViews>
  <sheetFormatPr defaultColWidth="9.140625" defaultRowHeight="15"/>
  <cols>
    <col min="1" max="1" width="20.28125" style="7" customWidth="1"/>
    <col min="2" max="2" width="13.00390625" style="7" customWidth="1"/>
    <col min="3" max="3" width="11.421875" style="7" customWidth="1"/>
    <col min="4" max="4" width="11.00390625" style="7" customWidth="1"/>
    <col min="5" max="5" width="10.421875" style="7" bestFit="1" customWidth="1"/>
    <col min="6" max="6" width="15.00390625" style="7" bestFit="1" customWidth="1"/>
    <col min="7" max="7" width="11.140625" style="7" customWidth="1"/>
    <col min="8" max="8" width="13.00390625" style="7" bestFit="1" customWidth="1"/>
    <col min="9" max="10" width="10.28125" style="7" customWidth="1"/>
    <col min="11" max="11" width="10.00390625" style="7" customWidth="1"/>
    <col min="12" max="12" width="12.57421875" style="7" customWidth="1"/>
    <col min="13" max="13" width="14.421875" style="7" bestFit="1" customWidth="1"/>
    <col min="14" max="14" width="12.00390625" style="7" customWidth="1"/>
    <col min="15" max="16384" width="9.140625" style="7" customWidth="1"/>
  </cols>
  <sheetData>
    <row r="1" spans="1:42" ht="9.75" customHeight="1">
      <c r="A1" s="180" t="s">
        <v>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9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9.7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9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50" ht="14.25">
      <c r="A5" s="184" t="str">
        <f>statistica!A5</f>
        <v>Regione</v>
      </c>
      <c r="B5" s="184" t="str">
        <f>statistica!B5</f>
        <v>Abitanti</v>
      </c>
      <c r="C5" s="184" t="str">
        <f>statistica!C5</f>
        <v>Elettori</v>
      </c>
      <c r="D5" s="28" t="str">
        <f>statistica!D5</f>
        <v>%</v>
      </c>
      <c r="E5" s="28" t="str">
        <f>statistica!E5</f>
        <v>numero</v>
      </c>
      <c r="F5" s="28" t="str">
        <f>statistica!F5</f>
        <v>voti</v>
      </c>
      <c r="G5" s="28" t="str">
        <f>statistica!G5</f>
        <v>%</v>
      </c>
      <c r="H5" s="28" t="str">
        <f>statistica!H5</f>
        <v>voti</v>
      </c>
      <c r="I5" s="28" t="str">
        <f>statistica!I5</f>
        <v>%</v>
      </c>
      <c r="J5" s="28" t="str">
        <f>statistica!J5</f>
        <v>schede</v>
      </c>
      <c r="K5" s="28" t="str">
        <f>statistica!K5</f>
        <v>schede</v>
      </c>
      <c r="L5" s="28" t="str">
        <f>statistica!L5</f>
        <v>schede non</v>
      </c>
      <c r="M5" s="184" t="str">
        <f>statistica!M6</f>
        <v>votanti</v>
      </c>
      <c r="N5" s="29" t="s">
        <v>59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4.25">
      <c r="A6" s="184"/>
      <c r="B6" s="184"/>
      <c r="C6" s="184"/>
      <c r="D6" s="67" t="str">
        <f>statistica!D6</f>
        <v>affluenza</v>
      </c>
      <c r="E6" s="67" t="str">
        <f>statistica!E6</f>
        <v>sez</v>
      </c>
      <c r="F6" s="67" t="str">
        <f>statistica!F6</f>
        <v>SI</v>
      </c>
      <c r="G6" s="67" t="str">
        <f>statistica!G6</f>
        <v> SI</v>
      </c>
      <c r="H6" s="67" t="str">
        <f>statistica!H6</f>
        <v>NO</v>
      </c>
      <c r="I6" s="67" t="str">
        <f>statistica!I6</f>
        <v> NO</v>
      </c>
      <c r="J6" s="67" t="str">
        <f>statistica!J6</f>
        <v>bianche</v>
      </c>
      <c r="K6" s="67" t="str">
        <f>statistica!K6</f>
        <v>nulle</v>
      </c>
      <c r="L6" s="67" t="str">
        <f>statistica!L6</f>
        <v>assegnate</v>
      </c>
      <c r="M6" s="185"/>
      <c r="N6" s="68" t="s">
        <v>29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4.25">
      <c r="A7" s="67" t="str">
        <f>statistica!A7</f>
        <v>Abruzzo</v>
      </c>
      <c r="B7" s="68">
        <f>statistica!B7</f>
        <v>1331574</v>
      </c>
      <c r="C7" s="68">
        <f>statistica!C7</f>
        <v>1052049</v>
      </c>
      <c r="D7" s="69">
        <f>statistica!D7</f>
        <v>68.70638108110933</v>
      </c>
      <c r="E7" s="68">
        <f>statistica!E7</f>
        <v>1639</v>
      </c>
      <c r="F7" s="68">
        <f>statistica!F7</f>
        <v>255001</v>
      </c>
      <c r="G7" s="69">
        <f>statistica!G7</f>
        <v>35.605266207663064</v>
      </c>
      <c r="H7" s="68">
        <f>statistica!H7</f>
        <v>461188</v>
      </c>
      <c r="I7" s="69">
        <f>statistica!I7</f>
        <v>64.39473379233694</v>
      </c>
      <c r="J7" s="68">
        <f>statistica!J7</f>
        <v>2117</v>
      </c>
      <c r="K7" s="68">
        <f>statistica!K7</f>
        <v>4611</v>
      </c>
      <c r="L7" s="68">
        <f>statistica!L7</f>
        <v>13</v>
      </c>
      <c r="M7" s="68">
        <f>statistica!M7</f>
        <v>722930</v>
      </c>
      <c r="N7" s="68">
        <f>statistica!N7</f>
        <v>329119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4.25">
      <c r="A8" s="24" t="str">
        <f>statistica!A8</f>
        <v>Basilicata</v>
      </c>
      <c r="B8" s="25">
        <f>statistica!B8</f>
        <v>576619</v>
      </c>
      <c r="C8" s="25">
        <f>statistica!C8</f>
        <v>467000</v>
      </c>
      <c r="D8" s="26">
        <f>statistica!D8</f>
        <v>62.84781584582442</v>
      </c>
      <c r="E8" s="25">
        <f>statistica!E8</f>
        <v>681</v>
      </c>
      <c r="F8" s="25">
        <f>statistica!F8</f>
        <v>98924</v>
      </c>
      <c r="G8" s="26">
        <f>statistica!G8</f>
        <v>34.111136014896296</v>
      </c>
      <c r="H8" s="25">
        <f>statistica!H8</f>
        <v>191081</v>
      </c>
      <c r="I8" s="26">
        <f>statistica!I8</f>
        <v>65.88886398510371</v>
      </c>
      <c r="J8" s="25">
        <f>statistica!J8</f>
        <v>900</v>
      </c>
      <c r="K8" s="25">
        <f>statistica!K8</f>
        <v>2629</v>
      </c>
      <c r="L8" s="25">
        <f>statistica!L8</f>
        <v>12</v>
      </c>
      <c r="M8" s="25">
        <f>statistica!M8</f>
        <v>293546</v>
      </c>
      <c r="N8" s="25">
        <f>statistica!N8</f>
        <v>173454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4.25">
      <c r="A9" s="24" t="str">
        <f>statistica!A9</f>
        <v>Calabria</v>
      </c>
      <c r="B9" s="25">
        <f>statistica!B9</f>
        <v>1976631</v>
      </c>
      <c r="C9" s="25">
        <f>statistica!C9</f>
        <v>1553741</v>
      </c>
      <c r="D9" s="26">
        <f>statistica!D9</f>
        <v>54.434748133697965</v>
      </c>
      <c r="E9" s="25">
        <f>statistica!E9</f>
        <v>2414</v>
      </c>
      <c r="F9" s="25">
        <f>statistica!F9</f>
        <v>276214</v>
      </c>
      <c r="G9" s="26">
        <f>statistica!G9</f>
        <v>32.96345800415304</v>
      </c>
      <c r="H9" s="25">
        <f>statistica!H9</f>
        <v>561726</v>
      </c>
      <c r="I9" s="26">
        <f>statistica!I9</f>
        <v>67.03654199584696</v>
      </c>
      <c r="J9" s="25">
        <f>statistica!J9</f>
        <v>2190</v>
      </c>
      <c r="K9" s="25">
        <f>statistica!K9</f>
        <v>5618</v>
      </c>
      <c r="L9" s="25">
        <f>statistica!L9</f>
        <v>27</v>
      </c>
      <c r="M9" s="25">
        <f>statistica!M9</f>
        <v>845775</v>
      </c>
      <c r="N9" s="25">
        <f>statistica!N9</f>
        <v>707966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4.25">
      <c r="A10" s="24" t="str">
        <f>statistica!A10</f>
        <v>Campania</v>
      </c>
      <c r="B10" s="25">
        <f>statistica!B10</f>
        <v>5861529</v>
      </c>
      <c r="C10" s="25">
        <f>statistica!C10</f>
        <v>4566905</v>
      </c>
      <c r="D10" s="26">
        <f>statistica!D10</f>
        <v>58.88167150400545</v>
      </c>
      <c r="E10" s="25">
        <f>statistica!E10</f>
        <v>5826</v>
      </c>
      <c r="F10" s="25">
        <f>statistica!F10</f>
        <v>839692</v>
      </c>
      <c r="G10" s="26">
        <f>statistica!G10</f>
        <v>31.479084972220765</v>
      </c>
      <c r="H10" s="25">
        <f>statistica!H10</f>
        <v>1827768</v>
      </c>
      <c r="I10" s="26">
        <f>statistica!I10</f>
        <v>68.52091502777924</v>
      </c>
      <c r="J10" s="25">
        <f>statistica!J10</f>
        <v>5100</v>
      </c>
      <c r="K10" s="25">
        <f>statistica!K10</f>
        <v>16430</v>
      </c>
      <c r="L10" s="25">
        <f>statistica!L10</f>
        <v>80</v>
      </c>
      <c r="M10" s="25">
        <f>statistica!M10</f>
        <v>2689070</v>
      </c>
      <c r="N10" s="25">
        <f>statistica!N10</f>
        <v>1877835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4.25">
      <c r="A11" s="24" t="str">
        <f>statistica!A11</f>
        <v>Emilia Romagna</v>
      </c>
      <c r="B11" s="25">
        <f>statistica!B11</f>
        <v>4450485</v>
      </c>
      <c r="C11" s="25">
        <f>statistica!C11</f>
        <v>3326910</v>
      </c>
      <c r="D11" s="26">
        <f>statistica!D11</f>
        <v>75.93322332134022</v>
      </c>
      <c r="E11" s="25">
        <f>statistica!E11</f>
        <v>4513</v>
      </c>
      <c r="F11" s="25">
        <f>statistica!F11</f>
        <v>1262484</v>
      </c>
      <c r="G11" s="26">
        <f>statistica!G11</f>
        <v>50.38898796077073</v>
      </c>
      <c r="H11" s="25">
        <f>statistica!H11</f>
        <v>1242992</v>
      </c>
      <c r="I11" s="26">
        <f>statistica!I11</f>
        <v>49.61101203922927</v>
      </c>
      <c r="J11" s="25">
        <f>statistica!J11</f>
        <v>7077</v>
      </c>
      <c r="K11" s="25">
        <f>statistica!K11</f>
        <v>13628</v>
      </c>
      <c r="L11" s="25">
        <f>statistica!L11</f>
        <v>49</v>
      </c>
      <c r="M11" s="25">
        <f>statistica!M11</f>
        <v>2526230</v>
      </c>
      <c r="N11" s="25">
        <f>statistica!N11</f>
        <v>800680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4.25">
      <c r="A12" s="24" t="str">
        <f>statistica!A12</f>
        <v>Friuli Venezia Giulia</v>
      </c>
      <c r="B12" s="25">
        <f>statistica!B12</f>
        <v>1227090</v>
      </c>
      <c r="C12" s="25">
        <f>statistica!C12</f>
        <v>952494</v>
      </c>
      <c r="D12" s="26">
        <f>statistica!D12</f>
        <v>72.516677270408</v>
      </c>
      <c r="E12" s="25">
        <f>statistica!E12</f>
        <v>1370</v>
      </c>
      <c r="F12" s="25">
        <f>statistica!F12</f>
        <v>267379</v>
      </c>
      <c r="G12" s="26">
        <f>statistica!G12</f>
        <v>39.02710655645581</v>
      </c>
      <c r="H12" s="25">
        <f>statistica!H12</f>
        <v>417732</v>
      </c>
      <c r="I12" s="26">
        <f>statistica!I12</f>
        <v>60.97289344354419</v>
      </c>
      <c r="J12" s="25">
        <f>statistica!J12</f>
        <v>1680</v>
      </c>
      <c r="K12" s="25">
        <f>statistica!K12</f>
        <v>3904</v>
      </c>
      <c r="L12" s="25">
        <f>statistica!L12</f>
        <v>22</v>
      </c>
      <c r="M12" s="25">
        <f>statistica!M12</f>
        <v>690717</v>
      </c>
      <c r="N12" s="25">
        <f>statistica!N12</f>
        <v>261777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4.25">
      <c r="A13" s="24" t="str">
        <f>statistica!A13</f>
        <v>Lazio</v>
      </c>
      <c r="B13" s="25">
        <f>statistica!B13</f>
        <v>5892425</v>
      </c>
      <c r="C13" s="25">
        <f>statistica!C13</f>
        <v>4402145</v>
      </c>
      <c r="D13" s="26">
        <f>statistica!D13</f>
        <v>69.16339648057935</v>
      </c>
      <c r="E13" s="25">
        <f>statistica!E13</f>
        <v>5277</v>
      </c>
      <c r="F13" s="25">
        <f>statistica!F13</f>
        <v>1108768</v>
      </c>
      <c r="G13" s="26">
        <f>statistica!G13</f>
        <v>36.67573552882492</v>
      </c>
      <c r="H13" s="25">
        <f>statistica!H13</f>
        <v>1914397</v>
      </c>
      <c r="I13" s="26">
        <f>statistica!I13</f>
        <v>63.32426447117508</v>
      </c>
      <c r="J13" s="25">
        <f>statistica!J13</f>
        <v>4678</v>
      </c>
      <c r="K13" s="25">
        <f>statistica!K13</f>
        <v>16750</v>
      </c>
      <c r="L13" s="25">
        <f>statistica!L13</f>
        <v>80</v>
      </c>
      <c r="M13" s="25">
        <f>statistica!M13</f>
        <v>3044673</v>
      </c>
      <c r="N13" s="25">
        <f>statistica!N13</f>
        <v>1357472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4.25">
      <c r="A14" s="24" t="str">
        <f>statistica!A14</f>
        <v>Liguria</v>
      </c>
      <c r="B14" s="25">
        <f>statistica!B14</f>
        <v>1583282</v>
      </c>
      <c r="C14" s="25">
        <f>statistica!C14</f>
        <v>1241469</v>
      </c>
      <c r="D14" s="26">
        <f>statistica!D14</f>
        <v>69.73641709942012</v>
      </c>
      <c r="E14" s="25">
        <f>statistica!E14</f>
        <v>1790</v>
      </c>
      <c r="F14" s="25">
        <f>statistica!F14</f>
        <v>342671</v>
      </c>
      <c r="G14" s="26">
        <f>statistica!G14</f>
        <v>39.91750228319013</v>
      </c>
      <c r="H14" s="25">
        <f>statistica!H14</f>
        <v>515777</v>
      </c>
      <c r="I14" s="26">
        <f>statistica!I14</f>
        <v>60.08249771680987</v>
      </c>
      <c r="J14" s="25">
        <f>statistica!J14</f>
        <v>2149</v>
      </c>
      <c r="K14" s="25">
        <f>statistica!K14</f>
        <v>5055</v>
      </c>
      <c r="L14" s="25">
        <f>statistica!L14</f>
        <v>104</v>
      </c>
      <c r="M14" s="25">
        <f>statistica!M14</f>
        <v>865756</v>
      </c>
      <c r="N14" s="25">
        <f>statistica!N14</f>
        <v>375713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4.25">
      <c r="A15" s="24" t="str">
        <f>statistica!A15</f>
        <v>Lombardia</v>
      </c>
      <c r="B15" s="25">
        <f>statistica!B15</f>
        <v>10002375</v>
      </c>
      <c r="C15" s="25">
        <f>statistica!C15</f>
        <v>7480375</v>
      </c>
      <c r="D15" s="26">
        <f>statistica!D15</f>
        <v>74.22769580402053</v>
      </c>
      <c r="E15" s="25">
        <f>statistica!E15</f>
        <v>9222</v>
      </c>
      <c r="F15" s="25">
        <f>statistica!F15</f>
        <v>2452936</v>
      </c>
      <c r="G15" s="26">
        <f>statistica!G15</f>
        <v>44.508637586447534</v>
      </c>
      <c r="H15" s="25">
        <f>statistica!H15</f>
        <v>3058210</v>
      </c>
      <c r="I15" s="26">
        <f>statistica!I15</f>
        <v>55.491362413552466</v>
      </c>
      <c r="J15" s="25">
        <f>statistica!J15</f>
        <v>12265</v>
      </c>
      <c r="K15" s="25">
        <f>statistica!K15</f>
        <v>28701</v>
      </c>
      <c r="L15" s="25">
        <f>statistica!L15</f>
        <v>398</v>
      </c>
      <c r="M15" s="25">
        <f>statistica!M15</f>
        <v>5552510</v>
      </c>
      <c r="N15" s="25">
        <f>statistica!N15</f>
        <v>1927865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4.25">
      <c r="A16" s="24" t="str">
        <f>statistica!A16</f>
        <v>Marche</v>
      </c>
      <c r="B16" s="25">
        <f>statistica!B16</f>
        <v>1550796</v>
      </c>
      <c r="C16" s="25">
        <f>statistica!C16</f>
        <v>1189181</v>
      </c>
      <c r="D16" s="26">
        <f>statistica!D16</f>
        <v>72.84282207670657</v>
      </c>
      <c r="E16" s="25">
        <f>statistica!E16</f>
        <v>1578</v>
      </c>
      <c r="F16" s="25">
        <f>statistica!F16</f>
        <v>385768</v>
      </c>
      <c r="G16" s="26">
        <f>statistica!G16</f>
        <v>44.93339219342763</v>
      </c>
      <c r="H16" s="25">
        <f>statistica!H16</f>
        <v>472765</v>
      </c>
      <c r="I16" s="26">
        <f>statistica!I16</f>
        <v>55.06660780657237</v>
      </c>
      <c r="J16" s="25">
        <f>statistica!J16</f>
        <v>2609</v>
      </c>
      <c r="K16" s="25">
        <f>statistica!K16</f>
        <v>5074</v>
      </c>
      <c r="L16" s="25">
        <f>statistica!L16</f>
        <v>17</v>
      </c>
      <c r="M16" s="25">
        <f>statistica!M16</f>
        <v>866233</v>
      </c>
      <c r="N16" s="25">
        <f>statistica!N16</f>
        <v>322948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4.25">
      <c r="A17" s="24" t="str">
        <f>statistica!A17</f>
        <v>Molise</v>
      </c>
      <c r="B17" s="25">
        <f>statistica!B17</f>
        <v>313348</v>
      </c>
      <c r="C17" s="25">
        <f>statistica!C17</f>
        <v>256600</v>
      </c>
      <c r="D17" s="26">
        <f>statistica!D17</f>
        <v>63.92751363990647</v>
      </c>
      <c r="E17" s="25">
        <f>statistica!E17</f>
        <v>393</v>
      </c>
      <c r="F17" s="25">
        <f>statistica!F17</f>
        <v>63695</v>
      </c>
      <c r="G17" s="26">
        <f>statistica!G17</f>
        <v>39.21550519323002</v>
      </c>
      <c r="H17" s="25">
        <f>statistica!H17</f>
        <v>98728</v>
      </c>
      <c r="I17" s="26">
        <f>statistica!I17</f>
        <v>60.78449480676998</v>
      </c>
      <c r="J17" s="25">
        <f>statistica!J17</f>
        <v>532</v>
      </c>
      <c r="K17" s="25">
        <f>statistica!K17</f>
        <v>1072</v>
      </c>
      <c r="L17" s="25">
        <f>statistica!L17</f>
        <v>11</v>
      </c>
      <c r="M17" s="25">
        <f>statistica!M17</f>
        <v>164038</v>
      </c>
      <c r="N17" s="25">
        <f>statistica!N17</f>
        <v>92562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4.25">
      <c r="A18" s="24" t="str">
        <f>statistica!A18</f>
        <v>Piemonte</v>
      </c>
      <c r="B18" s="25">
        <f>statistica!B18</f>
        <v>4424170</v>
      </c>
      <c r="C18" s="25">
        <f>statistica!C18</f>
        <v>3396378</v>
      </c>
      <c r="D18" s="26">
        <f>statistica!D18</f>
        <v>72.03744695083998</v>
      </c>
      <c r="E18" s="25">
        <f>statistica!E18</f>
        <v>4822</v>
      </c>
      <c r="F18" s="25">
        <f>statistica!F18</f>
        <v>1055022</v>
      </c>
      <c r="G18" s="26">
        <f>statistica!G18</f>
        <v>43.53209135359287</v>
      </c>
      <c r="H18" s="25">
        <f>statistica!H18</f>
        <v>1368528</v>
      </c>
      <c r="I18" s="26">
        <f>statistica!I18</f>
        <v>56.46790864640713</v>
      </c>
      <c r="J18" s="25">
        <f>statistica!J18</f>
        <v>6197</v>
      </c>
      <c r="K18" s="25">
        <f>statistica!K18</f>
        <v>16850</v>
      </c>
      <c r="L18" s="25">
        <f>statistica!L18</f>
        <v>67</v>
      </c>
      <c r="M18" s="25">
        <f>statistica!M18</f>
        <v>2446664</v>
      </c>
      <c r="N18" s="25">
        <f>statistica!N18</f>
        <v>949714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4.25">
      <c r="A19" s="24" t="str">
        <f>statistica!A19</f>
        <v>Puglia</v>
      </c>
      <c r="B19" s="25">
        <f>statistica!B19</f>
        <v>4090105</v>
      </c>
      <c r="C19" s="25">
        <f>statistica!C19</f>
        <v>3280712</v>
      </c>
      <c r="D19" s="26">
        <f>statistica!D19</f>
        <v>61.713768230798685</v>
      </c>
      <c r="E19" s="25">
        <f>statistica!E19</f>
        <v>4022</v>
      </c>
      <c r="F19" s="25">
        <f>statistica!F19</f>
        <v>659354</v>
      </c>
      <c r="G19" s="26">
        <f>statistica!G19</f>
        <v>32.83754837700773</v>
      </c>
      <c r="H19" s="25">
        <f>statistica!H19</f>
        <v>1348573</v>
      </c>
      <c r="I19" s="26">
        <f>statistica!I19</f>
        <v>67.16245162299226</v>
      </c>
      <c r="J19" s="25">
        <f>statistica!J19</f>
        <v>4191</v>
      </c>
      <c r="K19" s="25">
        <f>statistica!K19</f>
        <v>12434</v>
      </c>
      <c r="L19" s="25">
        <f>statistica!L19</f>
        <v>99</v>
      </c>
      <c r="M19" s="25">
        <f>statistica!M19</f>
        <v>2024651</v>
      </c>
      <c r="N19" s="25">
        <f>statistica!N19</f>
        <v>1256061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4.25">
      <c r="A20" s="24" t="str">
        <f>statistica!A20</f>
        <v>Sardegna</v>
      </c>
      <c r="B20" s="25">
        <f>statistica!B20</f>
        <v>1663286</v>
      </c>
      <c r="C20" s="25">
        <f>statistica!C20</f>
        <v>1375735</v>
      </c>
      <c r="D20" s="26">
        <f>statistica!D20</f>
        <v>62.4508353716377</v>
      </c>
      <c r="E20" s="25">
        <f>statistica!E20</f>
        <v>1835</v>
      </c>
      <c r="F20" s="25">
        <f>statistica!F20</f>
        <v>237280</v>
      </c>
      <c r="G20" s="26">
        <f>statistica!G20</f>
        <v>27.782233561378387</v>
      </c>
      <c r="H20" s="25">
        <f>statistica!H20</f>
        <v>616791</v>
      </c>
      <c r="I20" s="26">
        <f>statistica!I20</f>
        <v>72.21776643862161</v>
      </c>
      <c r="J20" s="25">
        <f>statistica!J20</f>
        <v>1335</v>
      </c>
      <c r="K20" s="25">
        <f>statistica!K20</f>
        <v>3732</v>
      </c>
      <c r="L20" s="25">
        <f>statistica!L20</f>
        <v>20</v>
      </c>
      <c r="M20" s="25">
        <f>statistica!M20</f>
        <v>859158</v>
      </c>
      <c r="N20" s="25">
        <f>statistica!N20</f>
        <v>516577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4.25">
      <c r="A21" s="24" t="str">
        <f>statistica!A21</f>
        <v>Sicilia</v>
      </c>
      <c r="B21" s="25">
        <f>statistica!B21</f>
        <v>5092100</v>
      </c>
      <c r="C21" s="25">
        <f>statistica!C21</f>
        <v>4031871</v>
      </c>
      <c r="D21" s="26">
        <f>statistica!D21</f>
        <v>56.654937620772095</v>
      </c>
      <c r="E21" s="25">
        <f>statistica!E21</f>
        <v>5300</v>
      </c>
      <c r="F21" s="25">
        <f>statistica!F21</f>
        <v>642713</v>
      </c>
      <c r="G21" s="26">
        <f>statistica!G21</f>
        <v>28.403337799760298</v>
      </c>
      <c r="H21" s="25">
        <f>statistica!H21</f>
        <v>1620095</v>
      </c>
      <c r="I21" s="26">
        <f>statistica!I21</f>
        <v>71.5966622002397</v>
      </c>
      <c r="J21" s="25">
        <f>statistica!J21</f>
        <v>4458</v>
      </c>
      <c r="K21" s="25">
        <f>statistica!K21</f>
        <v>16887</v>
      </c>
      <c r="L21" s="25">
        <f>statistica!L21</f>
        <v>101</v>
      </c>
      <c r="M21" s="25">
        <f>statistica!M21</f>
        <v>2284254</v>
      </c>
      <c r="N21" s="25">
        <f>statistica!N21</f>
        <v>1747617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4.25">
      <c r="A22" s="24" t="str">
        <f>statistica!A22</f>
        <v>Toscana</v>
      </c>
      <c r="B22" s="25">
        <f>statistica!B22</f>
        <v>3752686</v>
      </c>
      <c r="C22" s="25">
        <f>statistica!C22</f>
        <v>2854129</v>
      </c>
      <c r="D22" s="26">
        <f>statistica!D22</f>
        <v>74.4553942726485</v>
      </c>
      <c r="E22" s="25">
        <f>statistica!E22</f>
        <v>3958</v>
      </c>
      <c r="F22" s="25">
        <f>statistica!F22</f>
        <v>1105769</v>
      </c>
      <c r="G22" s="26">
        <f>statistica!G22</f>
        <v>52.51121082621759</v>
      </c>
      <c r="H22" s="25">
        <f>statistica!H22</f>
        <v>1000008</v>
      </c>
      <c r="I22" s="26">
        <f>statistica!I22</f>
        <v>47.48878917378241</v>
      </c>
      <c r="J22" s="25">
        <f>statistica!J22</f>
        <v>5935</v>
      </c>
      <c r="K22" s="25">
        <f>statistica!K22</f>
        <v>13287</v>
      </c>
      <c r="L22" s="25">
        <f>statistica!L22</f>
        <v>54</v>
      </c>
      <c r="M22" s="25">
        <f>statistica!M22</f>
        <v>2125053</v>
      </c>
      <c r="N22" s="25">
        <f>statistica!N22</f>
        <v>729076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4.25">
      <c r="A23" s="24" t="str">
        <f>statistica!A23</f>
        <v>Trentino Alto Adige</v>
      </c>
      <c r="B23" s="25">
        <f>statistica!B23</f>
        <v>1058194</v>
      </c>
      <c r="C23" s="25">
        <f>statistica!C23</f>
        <v>792504</v>
      </c>
      <c r="D23" s="26">
        <f>statistica!D23</f>
        <v>72.23761646628914</v>
      </c>
      <c r="E23" s="25">
        <f>statistica!E23</f>
        <v>1015</v>
      </c>
      <c r="F23" s="25">
        <f>statistica!F23</f>
        <v>305322</v>
      </c>
      <c r="G23" s="26">
        <f>statistica!G23</f>
        <v>53.86815338879136</v>
      </c>
      <c r="H23" s="25">
        <f>statistica!H23</f>
        <v>261473</v>
      </c>
      <c r="I23" s="26">
        <f>statistica!I23</f>
        <v>46.13184661120864</v>
      </c>
      <c r="J23" s="25">
        <f>statistica!J23</f>
        <v>2698</v>
      </c>
      <c r="K23" s="25">
        <f>statistica!K23</f>
        <v>2985</v>
      </c>
      <c r="L23" s="25">
        <f>statistica!L23</f>
        <v>8</v>
      </c>
      <c r="M23" s="25">
        <f>statistica!M23</f>
        <v>572486</v>
      </c>
      <c r="N23" s="25">
        <f>statistica!N23</f>
        <v>220018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4.25">
      <c r="A24" s="24" t="str">
        <f>statistica!A24</f>
        <v>Umbria</v>
      </c>
      <c r="B24" s="25">
        <f>statistica!B24</f>
        <v>894762</v>
      </c>
      <c r="C24" s="25">
        <f>statistica!C24</f>
        <v>675610</v>
      </c>
      <c r="D24" s="26">
        <f>statistica!D24</f>
        <v>73.47522979233581</v>
      </c>
      <c r="E24" s="25">
        <f>statistica!E24</f>
        <v>1007</v>
      </c>
      <c r="F24" s="25">
        <f>statistica!F24</f>
        <v>240346</v>
      </c>
      <c r="G24" s="26">
        <f>statistica!G24</f>
        <v>48.825606292686295</v>
      </c>
      <c r="H24" s="25">
        <f>statistica!H24</f>
        <v>251908</v>
      </c>
      <c r="I24" s="26">
        <f>statistica!I24</f>
        <v>51.174393707313705</v>
      </c>
      <c r="J24" s="25">
        <f>statistica!J24</f>
        <v>1267</v>
      </c>
      <c r="K24" s="25">
        <f>statistica!K24</f>
        <v>2871</v>
      </c>
      <c r="L24" s="25">
        <f>statistica!L24</f>
        <v>14</v>
      </c>
      <c r="M24" s="25">
        <f>statistica!M24</f>
        <v>496406</v>
      </c>
      <c r="N24" s="25">
        <f>statistica!N24</f>
        <v>179204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4.25">
      <c r="A25" s="24" t="str">
        <f>statistica!A25</f>
        <v>Valle D'Aosta</v>
      </c>
      <c r="B25" s="25">
        <f>statistica!B25</f>
        <v>128298</v>
      </c>
      <c r="C25" s="25">
        <f>statistica!C25</f>
        <v>99735</v>
      </c>
      <c r="D25" s="26">
        <f>statistica!D25</f>
        <v>71.90755502080513</v>
      </c>
      <c r="E25" s="25">
        <f>statistica!E25</f>
        <v>151</v>
      </c>
      <c r="F25" s="25">
        <f>statistica!F25</f>
        <v>30568</v>
      </c>
      <c r="G25" s="26">
        <f>statistica!G25</f>
        <v>43.245996265067056</v>
      </c>
      <c r="H25" s="25">
        <f>statistica!H25</f>
        <v>40116</v>
      </c>
      <c r="I25" s="26">
        <f>statistica!I25</f>
        <v>56.754003734932944</v>
      </c>
      <c r="J25" s="25">
        <f>statistica!J25</f>
        <v>361</v>
      </c>
      <c r="K25" s="25">
        <f>statistica!K25</f>
        <v>671</v>
      </c>
      <c r="L25" s="25">
        <f>statistica!L25</f>
        <v>1</v>
      </c>
      <c r="M25" s="25">
        <f>statistica!M25</f>
        <v>71717</v>
      </c>
      <c r="N25" s="25">
        <f>statistica!N25</f>
        <v>28018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4.25">
      <c r="A26" s="24" t="str">
        <f>statistica!A26</f>
        <v>Veneto</v>
      </c>
      <c r="B26" s="25">
        <f>statistica!B26</f>
        <v>4927879</v>
      </c>
      <c r="C26" s="25">
        <f>statistica!C26</f>
        <v>3725400</v>
      </c>
      <c r="D26" s="26">
        <f>statistica!D26</f>
        <v>76.66422397594889</v>
      </c>
      <c r="E26" s="25">
        <f>statistica!E26</f>
        <v>4738</v>
      </c>
      <c r="F26" s="25">
        <f>statistica!F26</f>
        <v>1078561</v>
      </c>
      <c r="G26" s="26">
        <f>statistica!G26</f>
        <v>38.0441173928855</v>
      </c>
      <c r="H26" s="25">
        <f>statistica!H26</f>
        <v>1756466</v>
      </c>
      <c r="I26" s="26">
        <f>statistica!I26</f>
        <v>61.9558826071145</v>
      </c>
      <c r="J26" s="25">
        <f>statistica!J26</f>
        <v>6381</v>
      </c>
      <c r="K26" s="25">
        <f>statistica!K26</f>
        <v>14590</v>
      </c>
      <c r="L26" s="25">
        <f>statistica!L26</f>
        <v>51</v>
      </c>
      <c r="M26" s="25">
        <f>statistica!M26</f>
        <v>2856049</v>
      </c>
      <c r="N26" s="25">
        <f>statistica!N26</f>
        <v>869351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4.25">
      <c r="A27" s="31" t="str">
        <f>statistica!A27</f>
        <v>totale Italia</v>
      </c>
      <c r="B27" s="32">
        <f>statistica!B27</f>
        <v>60797634</v>
      </c>
      <c r="C27" s="32">
        <f>statistica!C27</f>
        <v>46720943</v>
      </c>
      <c r="D27" s="33">
        <f>statistica!D27</f>
        <v>68.49</v>
      </c>
      <c r="E27" s="32">
        <f>statistica!E27</f>
        <v>61551</v>
      </c>
      <c r="F27" s="32">
        <f>statistica!F27</f>
        <v>12708467</v>
      </c>
      <c r="G27" s="33">
        <f>statistica!G27</f>
        <v>40.045853148732135</v>
      </c>
      <c r="H27" s="32">
        <f>statistica!H27</f>
        <v>19026322</v>
      </c>
      <c r="I27" s="33">
        <f>statistica!I27</f>
        <v>59.954146851267865</v>
      </c>
      <c r="J27" s="32">
        <f>statistica!J27</f>
        <v>74120</v>
      </c>
      <c r="K27" s="32">
        <f>statistica!K27</f>
        <v>187779</v>
      </c>
      <c r="L27" s="32">
        <f>statistica!L27</f>
        <v>1228</v>
      </c>
      <c r="M27" s="32">
        <f>statistica!M27</f>
        <v>31997916</v>
      </c>
      <c r="N27" s="32">
        <f>statistica!N27</f>
        <v>14723027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4.25">
      <c r="A28" s="35" t="str">
        <f>statistica!A28</f>
        <v>totale Estero</v>
      </c>
      <c r="B28" s="36">
        <f>statistica!B28</f>
        <v>4052341</v>
      </c>
      <c r="C28" s="36">
        <f>statistica!C28</f>
        <v>4052341</v>
      </c>
      <c r="D28" s="37">
        <f>statistica!D28</f>
        <v>30.756098758717492</v>
      </c>
      <c r="E28" s="36">
        <f>statistica!E28</f>
        <v>1618</v>
      </c>
      <c r="F28" s="36">
        <f>statistica!F28</f>
        <v>722915</v>
      </c>
      <c r="G28" s="37">
        <f>statistica!G28</f>
        <v>64.70062819793381</v>
      </c>
      <c r="H28" s="36">
        <f>statistica!H28</f>
        <v>394408</v>
      </c>
      <c r="I28" s="37">
        <f>statistica!I28</f>
        <v>35.29937180206619</v>
      </c>
      <c r="J28" s="36">
        <f>statistica!J28</f>
        <v>9298</v>
      </c>
      <c r="K28" s="36">
        <f>statistica!K28</f>
        <v>119188</v>
      </c>
      <c r="L28" s="36">
        <f>statistica!L28</f>
        <v>533</v>
      </c>
      <c r="M28" s="36">
        <f>statistica!M28</f>
        <v>1246342</v>
      </c>
      <c r="N28" s="36">
        <f>statistica!N28</f>
        <v>2805999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4.25">
      <c r="A29" s="70" t="str">
        <f>statistica!A29</f>
        <v>totale Italia+Estero</v>
      </c>
      <c r="B29" s="71">
        <f>statistica!B29</f>
        <v>64849975</v>
      </c>
      <c r="C29" s="71">
        <f>statistica!C29</f>
        <v>50773284</v>
      </c>
      <c r="D29" s="72">
        <f>statistica!D29</f>
        <v>65.47588688570943</v>
      </c>
      <c r="E29" s="71">
        <f>statistica!E29</f>
        <v>63169</v>
      </c>
      <c r="F29" s="71">
        <f>statistica!F29</f>
        <v>13431382</v>
      </c>
      <c r="G29" s="72">
        <f>statistica!G29</f>
        <v>40.88437906214371</v>
      </c>
      <c r="H29" s="71">
        <f>statistica!H29</f>
        <v>19420730</v>
      </c>
      <c r="I29" s="72">
        <f>statistica!I29</f>
        <v>59.11562093785629</v>
      </c>
      <c r="J29" s="71">
        <f>statistica!J29</f>
        <v>83418</v>
      </c>
      <c r="K29" s="71">
        <f>statistica!K29</f>
        <v>306967</v>
      </c>
      <c r="L29" s="71">
        <f>statistica!L29</f>
        <v>1761</v>
      </c>
      <c r="M29" s="71">
        <f>statistica!M29</f>
        <v>33244258</v>
      </c>
      <c r="N29" s="38">
        <f>statistica!N29</f>
        <v>17529026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9.75" customHeight="1" thickBo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2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4.25">
      <c r="A31" s="73" t="s">
        <v>50</v>
      </c>
      <c r="B31" s="73" t="s">
        <v>33</v>
      </c>
      <c r="C31" s="73" t="s">
        <v>33</v>
      </c>
      <c r="D31" s="73" t="s">
        <v>30</v>
      </c>
      <c r="E31" s="73" t="s">
        <v>30</v>
      </c>
      <c r="F31" s="73" t="s">
        <v>52</v>
      </c>
      <c r="G31" s="74" t="s">
        <v>9</v>
      </c>
      <c r="H31" s="73" t="s">
        <v>10</v>
      </c>
      <c r="I31" s="73" t="s">
        <v>10</v>
      </c>
      <c r="J31" s="73" t="s">
        <v>10</v>
      </c>
      <c r="K31" s="187" t="s">
        <v>25</v>
      </c>
      <c r="L31" s="188"/>
      <c r="M31" s="187" t="s">
        <v>59</v>
      </c>
      <c r="N31" s="18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 thickBot="1">
      <c r="A32" s="75" t="s">
        <v>51</v>
      </c>
      <c r="B32" s="75" t="s">
        <v>34</v>
      </c>
      <c r="C32" s="75" t="s">
        <v>35</v>
      </c>
      <c r="D32" s="75" t="s">
        <v>31</v>
      </c>
      <c r="E32" s="75" t="s">
        <v>32</v>
      </c>
      <c r="F32" s="75" t="s">
        <v>38</v>
      </c>
      <c r="G32" s="76" t="s">
        <v>29</v>
      </c>
      <c r="H32" s="75" t="s">
        <v>34</v>
      </c>
      <c r="I32" s="75" t="s">
        <v>35</v>
      </c>
      <c r="J32" s="75" t="s">
        <v>40</v>
      </c>
      <c r="K32" s="174"/>
      <c r="L32" s="173"/>
      <c r="M32" s="172" t="s">
        <v>29</v>
      </c>
      <c r="N32" s="17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0" customHeight="1">
      <c r="A33" s="9" t="s">
        <v>46</v>
      </c>
      <c r="B33" s="77">
        <f aca="true" t="shared" si="0" ref="B33:J33">VLOOKUP(A33,A100:B122,2,FALSE)</f>
        <v>305322</v>
      </c>
      <c r="C33" s="77">
        <f t="shared" si="0"/>
        <v>261473</v>
      </c>
      <c r="D33" s="77">
        <f t="shared" si="0"/>
        <v>2698</v>
      </c>
      <c r="E33" s="77">
        <f t="shared" si="0"/>
        <v>2985</v>
      </c>
      <c r="F33" s="77">
        <f t="shared" si="0"/>
        <v>8</v>
      </c>
      <c r="G33" s="77">
        <f t="shared" si="0"/>
        <v>572486</v>
      </c>
      <c r="H33" s="78">
        <f t="shared" si="0"/>
        <v>53.86815338879136</v>
      </c>
      <c r="I33" s="78">
        <f t="shared" si="0"/>
        <v>46.13184661120864</v>
      </c>
      <c r="J33" s="78">
        <f t="shared" si="0"/>
        <v>72.23761646628914</v>
      </c>
      <c r="K33" s="182">
        <f>VLOOKUP(J33,J100:L122,2,FALSE)</f>
        <v>792504</v>
      </c>
      <c r="L33" s="183"/>
      <c r="M33" s="182">
        <f>VLOOKUP(K33,K100:L122,2,FALSE)</f>
        <v>220018</v>
      </c>
      <c r="N33" s="183"/>
      <c r="O33" s="60"/>
      <c r="P33" s="60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9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4.25">
      <c r="A35" s="176" t="s">
        <v>73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209"/>
      <c r="L35" s="186" t="s">
        <v>65</v>
      </c>
      <c r="M35" s="185"/>
      <c r="N35" s="185"/>
      <c r="O35" s="16"/>
      <c r="P35" s="16"/>
      <c r="Q35" s="16"/>
      <c r="R35" s="16"/>
      <c r="S35" s="1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4.25">
      <c r="A36" s="184" t="str">
        <f>A33</f>
        <v>Trentino Alto Adige</v>
      </c>
      <c r="B36" s="79" t="s">
        <v>25</v>
      </c>
      <c r="C36" s="79" t="s">
        <v>29</v>
      </c>
      <c r="D36" s="79" t="s">
        <v>61</v>
      </c>
      <c r="E36" s="186" t="s">
        <v>62</v>
      </c>
      <c r="F36" s="186"/>
      <c r="G36" s="186" t="s">
        <v>25</v>
      </c>
      <c r="H36" s="186"/>
      <c r="I36" s="186" t="s">
        <v>63</v>
      </c>
      <c r="J36" s="186"/>
      <c r="K36" s="79" t="s">
        <v>62</v>
      </c>
      <c r="L36" s="79" t="s">
        <v>64</v>
      </c>
      <c r="M36" s="79" t="s">
        <v>81</v>
      </c>
      <c r="N36" s="79" t="s">
        <v>62</v>
      </c>
      <c r="O36" s="16"/>
      <c r="P36" s="16"/>
      <c r="Q36" s="16"/>
      <c r="R36" s="16"/>
      <c r="S36" s="1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4.25">
      <c r="A37" s="185"/>
      <c r="B37" s="25">
        <f>K33</f>
        <v>792504</v>
      </c>
      <c r="C37" s="25">
        <f>G33</f>
        <v>572486</v>
      </c>
      <c r="D37" s="25">
        <f>M33</f>
        <v>220018</v>
      </c>
      <c r="E37" s="175">
        <f>B37-AN37</f>
        <v>0</v>
      </c>
      <c r="F37" s="175"/>
      <c r="G37" s="175">
        <f>B37</f>
        <v>792504</v>
      </c>
      <c r="H37" s="185"/>
      <c r="I37" s="175">
        <f>C37+D37</f>
        <v>792504</v>
      </c>
      <c r="J37" s="175"/>
      <c r="K37" s="25">
        <f>G37-I37</f>
        <v>0</v>
      </c>
      <c r="L37" s="25">
        <f>H33+I33</f>
        <v>100</v>
      </c>
      <c r="M37" s="25">
        <f>AP37</f>
        <v>100.00000000000001</v>
      </c>
      <c r="N37" s="25">
        <f>L37-M37</f>
        <v>0</v>
      </c>
      <c r="O37" s="16"/>
      <c r="P37" s="16"/>
      <c r="Q37" s="16"/>
      <c r="R37" s="16"/>
      <c r="S37" s="1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8">
        <f>C37+D37</f>
        <v>792504</v>
      </c>
      <c r="AO37" s="11">
        <f>INT(D37*100)/I37</f>
        <v>27.76238353371087</v>
      </c>
      <c r="AP37" s="8">
        <f>AO37+J33</f>
        <v>100.00000000000001</v>
      </c>
      <c r="AQ37" s="6"/>
      <c r="AR37" s="6"/>
      <c r="AS37" s="6"/>
      <c r="AT37" s="6"/>
      <c r="AU37" s="6"/>
      <c r="AV37" s="6"/>
      <c r="AW37" s="6"/>
      <c r="AX37" s="6"/>
    </row>
    <row r="38" spans="1:50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4.25">
      <c r="A99" s="61"/>
      <c r="B99" s="62" t="s">
        <v>53</v>
      </c>
      <c r="C99" s="61" t="s">
        <v>54</v>
      </c>
      <c r="D99" s="61" t="s">
        <v>55</v>
      </c>
      <c r="E99" s="61" t="s">
        <v>56</v>
      </c>
      <c r="F99" s="61" t="s">
        <v>57</v>
      </c>
      <c r="G99" s="62" t="s">
        <v>58</v>
      </c>
      <c r="H99" s="62" t="s">
        <v>4</v>
      </c>
      <c r="I99" s="62" t="s">
        <v>3</v>
      </c>
      <c r="J99" s="61" t="s">
        <v>40</v>
      </c>
      <c r="K99" s="61" t="s">
        <v>22</v>
      </c>
      <c r="L99" s="6" t="s">
        <v>61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4.25">
      <c r="A100" s="62" t="str">
        <f>A7</f>
        <v>Abruzzo</v>
      </c>
      <c r="B100" s="63">
        <f>F7</f>
        <v>255001</v>
      </c>
      <c r="C100" s="63">
        <f>H7</f>
        <v>461188</v>
      </c>
      <c r="D100" s="63">
        <f>J7</f>
        <v>2117</v>
      </c>
      <c r="E100" s="63">
        <f>K7</f>
        <v>4611</v>
      </c>
      <c r="F100" s="63">
        <f>L7</f>
        <v>13</v>
      </c>
      <c r="G100" s="63">
        <f>M7</f>
        <v>722930</v>
      </c>
      <c r="H100" s="64">
        <f>G7</f>
        <v>35.605266207663064</v>
      </c>
      <c r="I100" s="64">
        <f>I7</f>
        <v>64.39473379233694</v>
      </c>
      <c r="J100" s="64">
        <f>D7</f>
        <v>68.70638108110933</v>
      </c>
      <c r="K100" s="63">
        <f>C7</f>
        <v>1052049</v>
      </c>
      <c r="L100" s="65">
        <f>N7</f>
        <v>329119</v>
      </c>
      <c r="M100" s="10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4.25">
      <c r="A101" s="62" t="str">
        <f aca="true" t="shared" si="1" ref="A101:A122">A8</f>
        <v>Basilicata</v>
      </c>
      <c r="B101" s="63">
        <f aca="true" t="shared" si="2" ref="B101:B122">F8</f>
        <v>98924</v>
      </c>
      <c r="C101" s="63">
        <f aca="true" t="shared" si="3" ref="C101:C122">H8</f>
        <v>191081</v>
      </c>
      <c r="D101" s="63">
        <f aca="true" t="shared" si="4" ref="D101:D122">J8</f>
        <v>900</v>
      </c>
      <c r="E101" s="63">
        <f aca="true" t="shared" si="5" ref="E101:E122">K8</f>
        <v>2629</v>
      </c>
      <c r="F101" s="63">
        <f aca="true" t="shared" si="6" ref="F101:F122">L8</f>
        <v>12</v>
      </c>
      <c r="G101" s="63">
        <f aca="true" t="shared" si="7" ref="G101:G122">M8</f>
        <v>293546</v>
      </c>
      <c r="H101" s="64">
        <f aca="true" t="shared" si="8" ref="H101:H122">G8</f>
        <v>34.111136014896296</v>
      </c>
      <c r="I101" s="64">
        <f aca="true" t="shared" si="9" ref="I101:I122">I8</f>
        <v>65.88886398510371</v>
      </c>
      <c r="J101" s="64">
        <f aca="true" t="shared" si="10" ref="J101:J122">D8</f>
        <v>62.84781584582442</v>
      </c>
      <c r="K101" s="63">
        <f aca="true" t="shared" si="11" ref="K101:K122">C8</f>
        <v>467000</v>
      </c>
      <c r="L101" s="65">
        <f aca="true" t="shared" si="12" ref="L101:L122">N8</f>
        <v>173454</v>
      </c>
      <c r="M101" s="10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4.25">
      <c r="A102" s="62" t="str">
        <f t="shared" si="1"/>
        <v>Calabria</v>
      </c>
      <c r="B102" s="63">
        <f t="shared" si="2"/>
        <v>276214</v>
      </c>
      <c r="C102" s="63">
        <f t="shared" si="3"/>
        <v>561726</v>
      </c>
      <c r="D102" s="63">
        <f t="shared" si="4"/>
        <v>2190</v>
      </c>
      <c r="E102" s="63">
        <f t="shared" si="5"/>
        <v>5618</v>
      </c>
      <c r="F102" s="63">
        <f t="shared" si="6"/>
        <v>27</v>
      </c>
      <c r="G102" s="63">
        <f t="shared" si="7"/>
        <v>845775</v>
      </c>
      <c r="H102" s="64">
        <f t="shared" si="8"/>
        <v>32.96345800415304</v>
      </c>
      <c r="I102" s="64">
        <f t="shared" si="9"/>
        <v>67.03654199584696</v>
      </c>
      <c r="J102" s="64">
        <f t="shared" si="10"/>
        <v>54.434748133697965</v>
      </c>
      <c r="K102" s="63">
        <f t="shared" si="11"/>
        <v>1553741</v>
      </c>
      <c r="L102" s="65">
        <f t="shared" si="12"/>
        <v>707966</v>
      </c>
      <c r="M102" s="10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4.25">
      <c r="A103" s="62" t="str">
        <f t="shared" si="1"/>
        <v>Campania</v>
      </c>
      <c r="B103" s="63">
        <f t="shared" si="2"/>
        <v>839692</v>
      </c>
      <c r="C103" s="63">
        <f t="shared" si="3"/>
        <v>1827768</v>
      </c>
      <c r="D103" s="63">
        <f t="shared" si="4"/>
        <v>5100</v>
      </c>
      <c r="E103" s="63">
        <f t="shared" si="5"/>
        <v>16430</v>
      </c>
      <c r="F103" s="63">
        <f t="shared" si="6"/>
        <v>80</v>
      </c>
      <c r="G103" s="63">
        <f t="shared" si="7"/>
        <v>2689070</v>
      </c>
      <c r="H103" s="64">
        <f t="shared" si="8"/>
        <v>31.479084972220765</v>
      </c>
      <c r="I103" s="64">
        <f t="shared" si="9"/>
        <v>68.52091502777924</v>
      </c>
      <c r="J103" s="64">
        <f t="shared" si="10"/>
        <v>58.88167150400545</v>
      </c>
      <c r="K103" s="63">
        <f t="shared" si="11"/>
        <v>4566905</v>
      </c>
      <c r="L103" s="65">
        <f t="shared" si="12"/>
        <v>1877835</v>
      </c>
      <c r="M103" s="10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4.25">
      <c r="A104" s="62" t="str">
        <f t="shared" si="1"/>
        <v>Emilia Romagna</v>
      </c>
      <c r="B104" s="63">
        <f t="shared" si="2"/>
        <v>1262484</v>
      </c>
      <c r="C104" s="63">
        <f t="shared" si="3"/>
        <v>1242992</v>
      </c>
      <c r="D104" s="63">
        <f t="shared" si="4"/>
        <v>7077</v>
      </c>
      <c r="E104" s="63">
        <f t="shared" si="5"/>
        <v>13628</v>
      </c>
      <c r="F104" s="63">
        <f t="shared" si="6"/>
        <v>49</v>
      </c>
      <c r="G104" s="63">
        <f t="shared" si="7"/>
        <v>2526230</v>
      </c>
      <c r="H104" s="64">
        <f t="shared" si="8"/>
        <v>50.38898796077073</v>
      </c>
      <c r="I104" s="64">
        <f t="shared" si="9"/>
        <v>49.61101203922927</v>
      </c>
      <c r="J104" s="64">
        <f t="shared" si="10"/>
        <v>75.93322332134022</v>
      </c>
      <c r="K104" s="63">
        <f t="shared" si="11"/>
        <v>3326910</v>
      </c>
      <c r="L104" s="65">
        <f t="shared" si="12"/>
        <v>800680</v>
      </c>
      <c r="M104" s="10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4.25">
      <c r="A105" s="62" t="str">
        <f t="shared" si="1"/>
        <v>Friuli Venezia Giulia</v>
      </c>
      <c r="B105" s="63">
        <f t="shared" si="2"/>
        <v>267379</v>
      </c>
      <c r="C105" s="63">
        <f t="shared" si="3"/>
        <v>417732</v>
      </c>
      <c r="D105" s="63">
        <f t="shared" si="4"/>
        <v>1680</v>
      </c>
      <c r="E105" s="63">
        <f t="shared" si="5"/>
        <v>3904</v>
      </c>
      <c r="F105" s="63">
        <f t="shared" si="6"/>
        <v>22</v>
      </c>
      <c r="G105" s="63">
        <f t="shared" si="7"/>
        <v>690717</v>
      </c>
      <c r="H105" s="64">
        <f t="shared" si="8"/>
        <v>39.02710655645581</v>
      </c>
      <c r="I105" s="64">
        <f t="shared" si="9"/>
        <v>60.97289344354419</v>
      </c>
      <c r="J105" s="64">
        <f t="shared" si="10"/>
        <v>72.516677270408</v>
      </c>
      <c r="K105" s="63">
        <f t="shared" si="11"/>
        <v>952494</v>
      </c>
      <c r="L105" s="65">
        <f t="shared" si="12"/>
        <v>261777</v>
      </c>
      <c r="M105" s="10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4.25">
      <c r="A106" s="62" t="str">
        <f t="shared" si="1"/>
        <v>Lazio</v>
      </c>
      <c r="B106" s="63">
        <f t="shared" si="2"/>
        <v>1108768</v>
      </c>
      <c r="C106" s="63">
        <f t="shared" si="3"/>
        <v>1914397</v>
      </c>
      <c r="D106" s="63">
        <f t="shared" si="4"/>
        <v>4678</v>
      </c>
      <c r="E106" s="63">
        <f t="shared" si="5"/>
        <v>16750</v>
      </c>
      <c r="F106" s="63">
        <f t="shared" si="6"/>
        <v>80</v>
      </c>
      <c r="G106" s="63">
        <f t="shared" si="7"/>
        <v>3044673</v>
      </c>
      <c r="H106" s="64">
        <f t="shared" si="8"/>
        <v>36.67573552882492</v>
      </c>
      <c r="I106" s="64">
        <f t="shared" si="9"/>
        <v>63.32426447117508</v>
      </c>
      <c r="J106" s="64">
        <f t="shared" si="10"/>
        <v>69.16339648057935</v>
      </c>
      <c r="K106" s="63">
        <f t="shared" si="11"/>
        <v>4402145</v>
      </c>
      <c r="L106" s="65">
        <f t="shared" si="12"/>
        <v>1357472</v>
      </c>
      <c r="M106" s="10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4.25">
      <c r="A107" s="62" t="str">
        <f t="shared" si="1"/>
        <v>Liguria</v>
      </c>
      <c r="B107" s="63">
        <f t="shared" si="2"/>
        <v>342671</v>
      </c>
      <c r="C107" s="63">
        <f t="shared" si="3"/>
        <v>515777</v>
      </c>
      <c r="D107" s="63">
        <f t="shared" si="4"/>
        <v>2149</v>
      </c>
      <c r="E107" s="63">
        <f t="shared" si="5"/>
        <v>5055</v>
      </c>
      <c r="F107" s="63">
        <f t="shared" si="6"/>
        <v>104</v>
      </c>
      <c r="G107" s="63">
        <f t="shared" si="7"/>
        <v>865756</v>
      </c>
      <c r="H107" s="64">
        <f t="shared" si="8"/>
        <v>39.91750228319013</v>
      </c>
      <c r="I107" s="64">
        <f t="shared" si="9"/>
        <v>60.08249771680987</v>
      </c>
      <c r="J107" s="64">
        <f t="shared" si="10"/>
        <v>69.73641709942012</v>
      </c>
      <c r="K107" s="63">
        <f t="shared" si="11"/>
        <v>1241469</v>
      </c>
      <c r="L107" s="65">
        <f t="shared" si="12"/>
        <v>375713</v>
      </c>
      <c r="M107" s="10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4.25">
      <c r="A108" s="62" t="str">
        <f t="shared" si="1"/>
        <v>Lombardia</v>
      </c>
      <c r="B108" s="63">
        <f t="shared" si="2"/>
        <v>2452936</v>
      </c>
      <c r="C108" s="63">
        <f t="shared" si="3"/>
        <v>3058210</v>
      </c>
      <c r="D108" s="63">
        <f t="shared" si="4"/>
        <v>12265</v>
      </c>
      <c r="E108" s="63">
        <f t="shared" si="5"/>
        <v>28701</v>
      </c>
      <c r="F108" s="63">
        <f t="shared" si="6"/>
        <v>398</v>
      </c>
      <c r="G108" s="63">
        <f t="shared" si="7"/>
        <v>5552510</v>
      </c>
      <c r="H108" s="64">
        <f t="shared" si="8"/>
        <v>44.508637586447534</v>
      </c>
      <c r="I108" s="64">
        <f t="shared" si="9"/>
        <v>55.491362413552466</v>
      </c>
      <c r="J108" s="64">
        <f t="shared" si="10"/>
        <v>74.22769580402053</v>
      </c>
      <c r="K108" s="63">
        <f t="shared" si="11"/>
        <v>7480375</v>
      </c>
      <c r="L108" s="65">
        <f t="shared" si="12"/>
        <v>1927865</v>
      </c>
      <c r="M108" s="10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4.25">
      <c r="A109" s="62" t="str">
        <f t="shared" si="1"/>
        <v>Marche</v>
      </c>
      <c r="B109" s="63">
        <f t="shared" si="2"/>
        <v>385768</v>
      </c>
      <c r="C109" s="63">
        <f t="shared" si="3"/>
        <v>472765</v>
      </c>
      <c r="D109" s="63">
        <f t="shared" si="4"/>
        <v>2609</v>
      </c>
      <c r="E109" s="63">
        <f t="shared" si="5"/>
        <v>5074</v>
      </c>
      <c r="F109" s="63">
        <f t="shared" si="6"/>
        <v>17</v>
      </c>
      <c r="G109" s="63">
        <f t="shared" si="7"/>
        <v>866233</v>
      </c>
      <c r="H109" s="64">
        <f t="shared" si="8"/>
        <v>44.93339219342763</v>
      </c>
      <c r="I109" s="64">
        <f t="shared" si="9"/>
        <v>55.06660780657237</v>
      </c>
      <c r="J109" s="64">
        <f t="shared" si="10"/>
        <v>72.84282207670657</v>
      </c>
      <c r="K109" s="63">
        <f t="shared" si="11"/>
        <v>1189181</v>
      </c>
      <c r="L109" s="65">
        <f t="shared" si="12"/>
        <v>322948</v>
      </c>
      <c r="M109" s="10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4.25">
      <c r="A110" s="62" t="str">
        <f t="shared" si="1"/>
        <v>Molise</v>
      </c>
      <c r="B110" s="63">
        <f t="shared" si="2"/>
        <v>63695</v>
      </c>
      <c r="C110" s="63">
        <f t="shared" si="3"/>
        <v>98728</v>
      </c>
      <c r="D110" s="63">
        <f t="shared" si="4"/>
        <v>532</v>
      </c>
      <c r="E110" s="63">
        <f t="shared" si="5"/>
        <v>1072</v>
      </c>
      <c r="F110" s="63">
        <f t="shared" si="6"/>
        <v>11</v>
      </c>
      <c r="G110" s="63">
        <f t="shared" si="7"/>
        <v>164038</v>
      </c>
      <c r="H110" s="64">
        <f t="shared" si="8"/>
        <v>39.21550519323002</v>
      </c>
      <c r="I110" s="64">
        <f t="shared" si="9"/>
        <v>60.78449480676998</v>
      </c>
      <c r="J110" s="64">
        <f t="shared" si="10"/>
        <v>63.92751363990647</v>
      </c>
      <c r="K110" s="63">
        <f t="shared" si="11"/>
        <v>256600</v>
      </c>
      <c r="L110" s="65">
        <f t="shared" si="12"/>
        <v>92562</v>
      </c>
      <c r="M110" s="10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4.25">
      <c r="A111" s="62" t="str">
        <f t="shared" si="1"/>
        <v>Piemonte</v>
      </c>
      <c r="B111" s="63">
        <f t="shared" si="2"/>
        <v>1055022</v>
      </c>
      <c r="C111" s="63">
        <f t="shared" si="3"/>
        <v>1368528</v>
      </c>
      <c r="D111" s="63">
        <f t="shared" si="4"/>
        <v>6197</v>
      </c>
      <c r="E111" s="63">
        <f t="shared" si="5"/>
        <v>16850</v>
      </c>
      <c r="F111" s="63">
        <f t="shared" si="6"/>
        <v>67</v>
      </c>
      <c r="G111" s="63">
        <f t="shared" si="7"/>
        <v>2446664</v>
      </c>
      <c r="H111" s="64">
        <f t="shared" si="8"/>
        <v>43.53209135359287</v>
      </c>
      <c r="I111" s="64">
        <f t="shared" si="9"/>
        <v>56.46790864640713</v>
      </c>
      <c r="J111" s="64">
        <f t="shared" si="10"/>
        <v>72.03744695083998</v>
      </c>
      <c r="K111" s="63">
        <f t="shared" si="11"/>
        <v>3396378</v>
      </c>
      <c r="L111" s="65">
        <f t="shared" si="12"/>
        <v>949714</v>
      </c>
      <c r="M111" s="10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4.25">
      <c r="A112" s="62" t="str">
        <f t="shared" si="1"/>
        <v>Puglia</v>
      </c>
      <c r="B112" s="63">
        <f t="shared" si="2"/>
        <v>659354</v>
      </c>
      <c r="C112" s="63">
        <f t="shared" si="3"/>
        <v>1348573</v>
      </c>
      <c r="D112" s="63">
        <f t="shared" si="4"/>
        <v>4191</v>
      </c>
      <c r="E112" s="63">
        <f t="shared" si="5"/>
        <v>12434</v>
      </c>
      <c r="F112" s="63">
        <f t="shared" si="6"/>
        <v>99</v>
      </c>
      <c r="G112" s="63">
        <f t="shared" si="7"/>
        <v>2024651</v>
      </c>
      <c r="H112" s="64">
        <f t="shared" si="8"/>
        <v>32.83754837700773</v>
      </c>
      <c r="I112" s="64">
        <f t="shared" si="9"/>
        <v>67.16245162299226</v>
      </c>
      <c r="J112" s="64">
        <f t="shared" si="10"/>
        <v>61.713768230798685</v>
      </c>
      <c r="K112" s="63">
        <f t="shared" si="11"/>
        <v>3280712</v>
      </c>
      <c r="L112" s="65">
        <f t="shared" si="12"/>
        <v>1256061</v>
      </c>
      <c r="M112" s="10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4.25">
      <c r="A113" s="62" t="str">
        <f t="shared" si="1"/>
        <v>Sardegna</v>
      </c>
      <c r="B113" s="63">
        <f t="shared" si="2"/>
        <v>237280</v>
      </c>
      <c r="C113" s="63">
        <f t="shared" si="3"/>
        <v>616791</v>
      </c>
      <c r="D113" s="63">
        <f t="shared" si="4"/>
        <v>1335</v>
      </c>
      <c r="E113" s="63">
        <f t="shared" si="5"/>
        <v>3732</v>
      </c>
      <c r="F113" s="63">
        <f t="shared" si="6"/>
        <v>20</v>
      </c>
      <c r="G113" s="63">
        <f t="shared" si="7"/>
        <v>859158</v>
      </c>
      <c r="H113" s="64">
        <f t="shared" si="8"/>
        <v>27.782233561378387</v>
      </c>
      <c r="I113" s="64">
        <f t="shared" si="9"/>
        <v>72.21776643862161</v>
      </c>
      <c r="J113" s="64">
        <f t="shared" si="10"/>
        <v>62.4508353716377</v>
      </c>
      <c r="K113" s="63">
        <f t="shared" si="11"/>
        <v>1375735</v>
      </c>
      <c r="L113" s="65">
        <f t="shared" si="12"/>
        <v>516577</v>
      </c>
      <c r="M113" s="10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4.25">
      <c r="A114" s="62" t="str">
        <f t="shared" si="1"/>
        <v>Sicilia</v>
      </c>
      <c r="B114" s="63">
        <f t="shared" si="2"/>
        <v>642713</v>
      </c>
      <c r="C114" s="63">
        <f t="shared" si="3"/>
        <v>1620095</v>
      </c>
      <c r="D114" s="63">
        <f t="shared" si="4"/>
        <v>4458</v>
      </c>
      <c r="E114" s="63">
        <f t="shared" si="5"/>
        <v>16887</v>
      </c>
      <c r="F114" s="63">
        <f t="shared" si="6"/>
        <v>101</v>
      </c>
      <c r="G114" s="63">
        <f t="shared" si="7"/>
        <v>2284254</v>
      </c>
      <c r="H114" s="64">
        <f t="shared" si="8"/>
        <v>28.403337799760298</v>
      </c>
      <c r="I114" s="64">
        <f t="shared" si="9"/>
        <v>71.5966622002397</v>
      </c>
      <c r="J114" s="64">
        <f t="shared" si="10"/>
        <v>56.654937620772095</v>
      </c>
      <c r="K114" s="63">
        <f t="shared" si="11"/>
        <v>4031871</v>
      </c>
      <c r="L114" s="65">
        <f t="shared" si="12"/>
        <v>1747617</v>
      </c>
      <c r="M114" s="6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4.25">
      <c r="A115" s="62" t="str">
        <f t="shared" si="1"/>
        <v>Toscana</v>
      </c>
      <c r="B115" s="63">
        <f t="shared" si="2"/>
        <v>1105769</v>
      </c>
      <c r="C115" s="63">
        <f t="shared" si="3"/>
        <v>1000008</v>
      </c>
      <c r="D115" s="63">
        <f t="shared" si="4"/>
        <v>5935</v>
      </c>
      <c r="E115" s="63">
        <f t="shared" si="5"/>
        <v>13287</v>
      </c>
      <c r="F115" s="63">
        <f t="shared" si="6"/>
        <v>54</v>
      </c>
      <c r="G115" s="63">
        <f t="shared" si="7"/>
        <v>2125053</v>
      </c>
      <c r="H115" s="64">
        <f t="shared" si="8"/>
        <v>52.51121082621759</v>
      </c>
      <c r="I115" s="64">
        <f t="shared" si="9"/>
        <v>47.48878917378241</v>
      </c>
      <c r="J115" s="64">
        <f t="shared" si="10"/>
        <v>74.4553942726485</v>
      </c>
      <c r="K115" s="63">
        <f t="shared" si="11"/>
        <v>2854129</v>
      </c>
      <c r="L115" s="65">
        <f t="shared" si="12"/>
        <v>729076</v>
      </c>
      <c r="M115" s="6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4.25">
      <c r="A116" s="62" t="str">
        <f t="shared" si="1"/>
        <v>Trentino Alto Adige</v>
      </c>
      <c r="B116" s="63">
        <f t="shared" si="2"/>
        <v>305322</v>
      </c>
      <c r="C116" s="63">
        <f t="shared" si="3"/>
        <v>261473</v>
      </c>
      <c r="D116" s="63">
        <f t="shared" si="4"/>
        <v>2698</v>
      </c>
      <c r="E116" s="63">
        <f t="shared" si="5"/>
        <v>2985</v>
      </c>
      <c r="F116" s="63">
        <f t="shared" si="6"/>
        <v>8</v>
      </c>
      <c r="G116" s="63">
        <f t="shared" si="7"/>
        <v>572486</v>
      </c>
      <c r="H116" s="64">
        <f t="shared" si="8"/>
        <v>53.86815338879136</v>
      </c>
      <c r="I116" s="64">
        <f t="shared" si="9"/>
        <v>46.13184661120864</v>
      </c>
      <c r="J116" s="64">
        <f t="shared" si="10"/>
        <v>72.23761646628914</v>
      </c>
      <c r="K116" s="63">
        <f t="shared" si="11"/>
        <v>792504</v>
      </c>
      <c r="L116" s="65">
        <f t="shared" si="12"/>
        <v>220018</v>
      </c>
      <c r="M116" s="6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4.25">
      <c r="A117" s="62" t="str">
        <f t="shared" si="1"/>
        <v>Umbria</v>
      </c>
      <c r="B117" s="63">
        <f t="shared" si="2"/>
        <v>240346</v>
      </c>
      <c r="C117" s="63">
        <f t="shared" si="3"/>
        <v>251908</v>
      </c>
      <c r="D117" s="63">
        <f t="shared" si="4"/>
        <v>1267</v>
      </c>
      <c r="E117" s="63">
        <f t="shared" si="5"/>
        <v>2871</v>
      </c>
      <c r="F117" s="63">
        <f t="shared" si="6"/>
        <v>14</v>
      </c>
      <c r="G117" s="63">
        <f t="shared" si="7"/>
        <v>496406</v>
      </c>
      <c r="H117" s="64">
        <f t="shared" si="8"/>
        <v>48.825606292686295</v>
      </c>
      <c r="I117" s="64">
        <f t="shared" si="9"/>
        <v>51.174393707313705</v>
      </c>
      <c r="J117" s="64">
        <f t="shared" si="10"/>
        <v>73.47522979233581</v>
      </c>
      <c r="K117" s="63">
        <f t="shared" si="11"/>
        <v>675610</v>
      </c>
      <c r="L117" s="65">
        <f t="shared" si="12"/>
        <v>179204</v>
      </c>
      <c r="M117" s="6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4.25">
      <c r="A118" s="62" t="str">
        <f t="shared" si="1"/>
        <v>Valle D'Aosta</v>
      </c>
      <c r="B118" s="63">
        <f t="shared" si="2"/>
        <v>30568</v>
      </c>
      <c r="C118" s="63">
        <f t="shared" si="3"/>
        <v>40116</v>
      </c>
      <c r="D118" s="63">
        <f t="shared" si="4"/>
        <v>361</v>
      </c>
      <c r="E118" s="63">
        <f t="shared" si="5"/>
        <v>671</v>
      </c>
      <c r="F118" s="63">
        <f t="shared" si="6"/>
        <v>1</v>
      </c>
      <c r="G118" s="63">
        <f t="shared" si="7"/>
        <v>71717</v>
      </c>
      <c r="H118" s="64">
        <f t="shared" si="8"/>
        <v>43.245996265067056</v>
      </c>
      <c r="I118" s="64">
        <f t="shared" si="9"/>
        <v>56.754003734932944</v>
      </c>
      <c r="J118" s="64">
        <f t="shared" si="10"/>
        <v>71.90755502080513</v>
      </c>
      <c r="K118" s="63">
        <f t="shared" si="11"/>
        <v>99735</v>
      </c>
      <c r="L118" s="65">
        <f t="shared" si="12"/>
        <v>28018</v>
      </c>
      <c r="M118" s="6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4.25">
      <c r="A119" s="62" t="str">
        <f t="shared" si="1"/>
        <v>Veneto</v>
      </c>
      <c r="B119" s="63">
        <f t="shared" si="2"/>
        <v>1078561</v>
      </c>
      <c r="C119" s="63">
        <f t="shared" si="3"/>
        <v>1756466</v>
      </c>
      <c r="D119" s="63">
        <f t="shared" si="4"/>
        <v>6381</v>
      </c>
      <c r="E119" s="63">
        <f t="shared" si="5"/>
        <v>14590</v>
      </c>
      <c r="F119" s="63">
        <f t="shared" si="6"/>
        <v>51</v>
      </c>
      <c r="G119" s="63">
        <f t="shared" si="7"/>
        <v>2856049</v>
      </c>
      <c r="H119" s="64">
        <f t="shared" si="8"/>
        <v>38.0441173928855</v>
      </c>
      <c r="I119" s="64">
        <f t="shared" si="9"/>
        <v>61.9558826071145</v>
      </c>
      <c r="J119" s="64">
        <f t="shared" si="10"/>
        <v>76.66422397594889</v>
      </c>
      <c r="K119" s="63">
        <f t="shared" si="11"/>
        <v>3725400</v>
      </c>
      <c r="L119" s="65">
        <f t="shared" si="12"/>
        <v>869351</v>
      </c>
      <c r="M119" s="6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4.25">
      <c r="A120" s="62" t="str">
        <f t="shared" si="1"/>
        <v>totale Italia</v>
      </c>
      <c r="B120" s="63">
        <f t="shared" si="2"/>
        <v>12708467</v>
      </c>
      <c r="C120" s="63">
        <f t="shared" si="3"/>
        <v>19026322</v>
      </c>
      <c r="D120" s="63">
        <f t="shared" si="4"/>
        <v>74120</v>
      </c>
      <c r="E120" s="63">
        <f t="shared" si="5"/>
        <v>187779</v>
      </c>
      <c r="F120" s="63">
        <f t="shared" si="6"/>
        <v>1228</v>
      </c>
      <c r="G120" s="63">
        <f t="shared" si="7"/>
        <v>31997916</v>
      </c>
      <c r="H120" s="64">
        <f t="shared" si="8"/>
        <v>40.045853148732135</v>
      </c>
      <c r="I120" s="64">
        <f t="shared" si="9"/>
        <v>59.954146851267865</v>
      </c>
      <c r="J120" s="64">
        <f t="shared" si="10"/>
        <v>68.49</v>
      </c>
      <c r="K120" s="63">
        <f t="shared" si="11"/>
        <v>46720943</v>
      </c>
      <c r="L120" s="65">
        <f t="shared" si="12"/>
        <v>14723027</v>
      </c>
      <c r="M120" s="6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4.25">
      <c r="A121" s="62" t="str">
        <f t="shared" si="1"/>
        <v>totale Estero</v>
      </c>
      <c r="B121" s="63">
        <f t="shared" si="2"/>
        <v>722915</v>
      </c>
      <c r="C121" s="63">
        <f t="shared" si="3"/>
        <v>394408</v>
      </c>
      <c r="D121" s="63">
        <f t="shared" si="4"/>
        <v>9298</v>
      </c>
      <c r="E121" s="63">
        <f t="shared" si="5"/>
        <v>119188</v>
      </c>
      <c r="F121" s="63">
        <f t="shared" si="6"/>
        <v>533</v>
      </c>
      <c r="G121" s="63">
        <f t="shared" si="7"/>
        <v>1246342</v>
      </c>
      <c r="H121" s="64">
        <f t="shared" si="8"/>
        <v>64.70062819793381</v>
      </c>
      <c r="I121" s="64">
        <f t="shared" si="9"/>
        <v>35.29937180206619</v>
      </c>
      <c r="J121" s="64">
        <f t="shared" si="10"/>
        <v>30.756098758717492</v>
      </c>
      <c r="K121" s="63">
        <f t="shared" si="11"/>
        <v>4052341</v>
      </c>
      <c r="L121" s="65">
        <f t="shared" si="12"/>
        <v>2805999</v>
      </c>
      <c r="M121" s="6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4.25">
      <c r="A122" s="62" t="str">
        <f t="shared" si="1"/>
        <v>totale Italia+Estero</v>
      </c>
      <c r="B122" s="63">
        <f t="shared" si="2"/>
        <v>13431382</v>
      </c>
      <c r="C122" s="63">
        <f t="shared" si="3"/>
        <v>19420730</v>
      </c>
      <c r="D122" s="63">
        <f t="shared" si="4"/>
        <v>83418</v>
      </c>
      <c r="E122" s="63">
        <f t="shared" si="5"/>
        <v>306967</v>
      </c>
      <c r="F122" s="63">
        <f t="shared" si="6"/>
        <v>1761</v>
      </c>
      <c r="G122" s="63">
        <f t="shared" si="7"/>
        <v>33244258</v>
      </c>
      <c r="H122" s="64">
        <f t="shared" si="8"/>
        <v>40.88437906214371</v>
      </c>
      <c r="I122" s="64">
        <f t="shared" si="9"/>
        <v>59.11562093785629</v>
      </c>
      <c r="J122" s="64">
        <f t="shared" si="10"/>
        <v>65.47588688570943</v>
      </c>
      <c r="K122" s="63">
        <f t="shared" si="11"/>
        <v>50773284</v>
      </c>
      <c r="L122" s="65">
        <f t="shared" si="12"/>
        <v>17529026</v>
      </c>
      <c r="M122" s="6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4.25">
      <c r="A123" s="10"/>
      <c r="B123" s="10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4.25">
      <c r="A124" s="10"/>
      <c r="B124" s="10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4.25">
      <c r="A125" s="10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4.25">
      <c r="A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4.25">
      <c r="A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4:50" ht="14.25"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4:50" ht="14.25"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4:50" ht="14.25"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4:50" ht="14.25"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</sheetData>
  <sheetProtection/>
  <mergeCells count="19">
    <mergeCell ref="I36:J36"/>
    <mergeCell ref="I37:J37"/>
    <mergeCell ref="A35:K35"/>
    <mergeCell ref="A36:A37"/>
    <mergeCell ref="E36:F36"/>
    <mergeCell ref="E37:F37"/>
    <mergeCell ref="G36:H36"/>
    <mergeCell ref="G37:H37"/>
    <mergeCell ref="L35:N35"/>
    <mergeCell ref="M31:N31"/>
    <mergeCell ref="M32:N32"/>
    <mergeCell ref="K31:L32"/>
    <mergeCell ref="M33:N33"/>
    <mergeCell ref="A1:N4"/>
    <mergeCell ref="K33:L33"/>
    <mergeCell ref="A5:A6"/>
    <mergeCell ref="B5:B6"/>
    <mergeCell ref="C5:C6"/>
    <mergeCell ref="M5:M6"/>
  </mergeCells>
  <dataValidations count="1">
    <dataValidation type="list" allowBlank="1" showInputMessage="1" showErrorMessage="1" sqref="A33">
      <formula1>$A$7:$A$29</formula1>
    </dataValidation>
  </dataValidations>
  <printOptions/>
  <pageMargins left="0.75" right="0.75" top="1" bottom="1" header="0.5" footer="0.5"/>
  <pageSetup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30"/>
  <sheetViews>
    <sheetView workbookViewId="0" topLeftCell="A1">
      <selection activeCell="A1" sqref="A1:O4"/>
    </sheetView>
  </sheetViews>
  <sheetFormatPr defaultColWidth="9.140625" defaultRowHeight="15"/>
  <cols>
    <col min="1" max="1" width="21.57421875" style="86" customWidth="1"/>
    <col min="2" max="2" width="12.140625" style="86" customWidth="1"/>
    <col min="3" max="3" width="8.8515625" style="86" customWidth="1"/>
    <col min="4" max="4" width="8.7109375" style="86" customWidth="1"/>
    <col min="5" max="5" width="8.421875" style="86" customWidth="1"/>
    <col min="6" max="6" width="11.57421875" style="86" customWidth="1"/>
    <col min="7" max="7" width="9.28125" style="86" customWidth="1"/>
    <col min="8" max="8" width="8.00390625" style="86" customWidth="1"/>
    <col min="9" max="11" width="9.421875" style="86" customWidth="1"/>
    <col min="12" max="12" width="8.140625" style="86" customWidth="1"/>
    <col min="13" max="13" width="7.7109375" style="86" customWidth="1"/>
    <col min="14" max="14" width="8.28125" style="86" customWidth="1"/>
    <col min="15" max="15" width="8.00390625" style="86" customWidth="1"/>
    <col min="16" max="26" width="9.140625" style="86" customWidth="1"/>
    <col min="27" max="27" width="13.421875" style="86" customWidth="1"/>
    <col min="28" max="28" width="12.421875" style="86" customWidth="1"/>
    <col min="29" max="29" width="13.8515625" style="86" customWidth="1"/>
    <col min="30" max="30" width="10.140625" style="86" bestFit="1" customWidth="1"/>
    <col min="31" max="31" width="13.28125" style="86" customWidth="1"/>
    <col min="32" max="32" width="11.57421875" style="86" customWidth="1"/>
    <col min="33" max="16384" width="9.140625" style="86" customWidth="1"/>
  </cols>
  <sheetData>
    <row r="1" spans="1:64" ht="4.5" customHeight="1">
      <c r="A1" s="214" t="s">
        <v>165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4" ht="4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4.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4.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12.75">
      <c r="A5" s="218" t="s">
        <v>116</v>
      </c>
      <c r="B5" s="81" t="s">
        <v>115</v>
      </c>
      <c r="C5" s="219" t="s">
        <v>25</v>
      </c>
      <c r="D5" s="18" t="s">
        <v>10</v>
      </c>
      <c r="E5" s="18" t="s">
        <v>33</v>
      </c>
      <c r="F5" s="210" t="s">
        <v>10</v>
      </c>
      <c r="G5" s="18" t="s">
        <v>33</v>
      </c>
      <c r="H5" s="210" t="s">
        <v>10</v>
      </c>
      <c r="I5" s="18" t="s">
        <v>160</v>
      </c>
      <c r="J5" s="210" t="s">
        <v>10</v>
      </c>
      <c r="K5" s="18" t="s">
        <v>9</v>
      </c>
      <c r="L5" s="18" t="s">
        <v>162</v>
      </c>
      <c r="M5" s="18" t="s">
        <v>30</v>
      </c>
      <c r="N5" s="19" t="s">
        <v>47</v>
      </c>
      <c r="O5" s="81" t="s">
        <v>60</v>
      </c>
      <c r="P5" s="220"/>
      <c r="Q5" s="214"/>
      <c r="R5" s="214"/>
      <c r="S5" s="214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1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12.75">
      <c r="A6" s="218"/>
      <c r="B6" s="87">
        <v>42370</v>
      </c>
      <c r="C6" s="219"/>
      <c r="D6" s="92" t="s">
        <v>40</v>
      </c>
      <c r="E6" s="21" t="s">
        <v>159</v>
      </c>
      <c r="F6" s="211"/>
      <c r="G6" s="21" t="s">
        <v>161</v>
      </c>
      <c r="H6" s="211"/>
      <c r="I6" s="21" t="s">
        <v>158</v>
      </c>
      <c r="J6" s="211"/>
      <c r="K6" s="125" t="s">
        <v>10</v>
      </c>
      <c r="L6" s="21" t="s">
        <v>163</v>
      </c>
      <c r="M6" s="21" t="s">
        <v>32</v>
      </c>
      <c r="N6" s="22" t="s">
        <v>29</v>
      </c>
      <c r="O6" s="92" t="s">
        <v>29</v>
      </c>
      <c r="P6" s="220"/>
      <c r="Q6" s="214"/>
      <c r="R6" s="214"/>
      <c r="S6" s="214"/>
      <c r="T6" s="42"/>
      <c r="U6" s="42"/>
      <c r="V6" s="42"/>
      <c r="W6" s="42"/>
      <c r="X6" s="42"/>
      <c r="Y6" s="42"/>
      <c r="Z6" s="42"/>
      <c r="AA6" s="42" t="s">
        <v>42</v>
      </c>
      <c r="AB6" s="42" t="s">
        <v>22</v>
      </c>
      <c r="AC6" s="42" t="s">
        <v>43</v>
      </c>
      <c r="AD6" s="42"/>
      <c r="AE6" s="88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15" customHeight="1">
      <c r="A7" s="68" t="str">
        <f>'f2'!B2</f>
        <v>Crotone</v>
      </c>
      <c r="B7" s="68">
        <f>'f2'!C2</f>
        <v>62178</v>
      </c>
      <c r="C7" s="25">
        <f>'f3'!B12</f>
        <v>47455</v>
      </c>
      <c r="D7" s="26">
        <f aca="true" t="shared" si="0" ref="D7:D33">(N7/C7)*100</f>
        <v>3.687704140764935</v>
      </c>
      <c r="E7" s="25">
        <v>334</v>
      </c>
      <c r="F7" s="122">
        <f aca="true" t="shared" si="1" ref="F7:F16">E7/L7</f>
        <v>0.19486581096849476</v>
      </c>
      <c r="G7" s="25">
        <v>267</v>
      </c>
      <c r="H7" s="122">
        <f>G7/L7</f>
        <v>0.1557759626604434</v>
      </c>
      <c r="I7" s="25">
        <v>1113</v>
      </c>
      <c r="J7" s="122">
        <f aca="true" t="shared" si="2" ref="J7:J16">I7/L7</f>
        <v>0.6493582263710619</v>
      </c>
      <c r="K7" s="122">
        <f aca="true" t="shared" si="3" ref="K7:K16">F7+H7+J7</f>
        <v>1</v>
      </c>
      <c r="L7" s="25">
        <f aca="true" t="shared" si="4" ref="L7:L15">N7-M7</f>
        <v>1714</v>
      </c>
      <c r="M7" s="25">
        <f>1750-1714</f>
        <v>36</v>
      </c>
      <c r="N7" s="25">
        <f aca="true" t="shared" si="5" ref="N7:N15">SUM(E7,G7,I7,M7)</f>
        <v>1750</v>
      </c>
      <c r="O7" s="68">
        <f aca="true" t="shared" si="6" ref="O7:O34">C7-N7</f>
        <v>45705</v>
      </c>
      <c r="P7" s="224"/>
      <c r="Q7" s="214"/>
      <c r="R7" s="214"/>
      <c r="S7" s="214"/>
      <c r="T7" s="42"/>
      <c r="U7" s="42"/>
      <c r="V7" s="89">
        <f>F7</f>
        <v>0.19486581096849476</v>
      </c>
      <c r="W7" s="89">
        <f>H7</f>
        <v>0.1557759626604434</v>
      </c>
      <c r="X7" s="89">
        <f>V7+W7</f>
        <v>0.35064177362893817</v>
      </c>
      <c r="Y7" s="42"/>
      <c r="Z7" s="42"/>
      <c r="AA7" s="41">
        <f>E7+G7</f>
        <v>601</v>
      </c>
      <c r="AB7" s="41">
        <f>C7</f>
        <v>47455</v>
      </c>
      <c r="AC7" s="41">
        <f>E7+G7</f>
        <v>601</v>
      </c>
      <c r="AD7" s="41"/>
      <c r="AE7" s="41"/>
      <c r="AF7" s="41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</row>
    <row r="8" spans="1:64" ht="15" customHeight="1">
      <c r="A8" s="68" t="s">
        <v>109</v>
      </c>
      <c r="B8" s="68">
        <f>'f2'!C17</f>
        <v>2297</v>
      </c>
      <c r="C8" s="25">
        <f>'f3'!B3</f>
        <v>1816</v>
      </c>
      <c r="D8" s="26">
        <f t="shared" si="0"/>
        <v>5.011013215859031</v>
      </c>
      <c r="E8" s="25">
        <v>0</v>
      </c>
      <c r="F8" s="122">
        <f t="shared" si="1"/>
        <v>0</v>
      </c>
      <c r="G8" s="25">
        <v>10</v>
      </c>
      <c r="H8" s="122">
        <f>G8/L8</f>
        <v>0.10989010989010989</v>
      </c>
      <c r="I8" s="25">
        <v>81</v>
      </c>
      <c r="J8" s="122">
        <f t="shared" si="2"/>
        <v>0.8901098901098901</v>
      </c>
      <c r="K8" s="122">
        <f t="shared" si="3"/>
        <v>1</v>
      </c>
      <c r="L8" s="25">
        <f t="shared" si="4"/>
        <v>91</v>
      </c>
      <c r="M8" s="25">
        <v>0</v>
      </c>
      <c r="N8" s="25">
        <f t="shared" si="5"/>
        <v>91</v>
      </c>
      <c r="O8" s="25">
        <f t="shared" si="6"/>
        <v>1725</v>
      </c>
      <c r="P8" s="121"/>
      <c r="Q8" s="40"/>
      <c r="R8" s="40"/>
      <c r="S8" s="40"/>
      <c r="T8" s="42"/>
      <c r="U8" s="42"/>
      <c r="V8" s="89"/>
      <c r="W8" s="89"/>
      <c r="X8" s="89"/>
      <c r="Y8" s="42"/>
      <c r="Z8" s="42"/>
      <c r="AA8" s="41"/>
      <c r="AB8" s="41"/>
      <c r="AC8" s="41"/>
      <c r="AD8" s="41"/>
      <c r="AE8" s="41"/>
      <c r="AF8" s="41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</row>
    <row r="9" spans="1:64" ht="15" customHeight="1">
      <c r="A9" s="68" t="s">
        <v>96</v>
      </c>
      <c r="B9" s="68">
        <f>'f2'!C21</f>
        <v>1663</v>
      </c>
      <c r="C9" s="25">
        <f>'f3'!B4</f>
        <v>1350</v>
      </c>
      <c r="D9" s="26">
        <f t="shared" si="0"/>
        <v>4.148148148148148</v>
      </c>
      <c r="E9" s="25">
        <v>15</v>
      </c>
      <c r="F9" s="122">
        <f t="shared" si="1"/>
        <v>0.26785714285714285</v>
      </c>
      <c r="G9" s="25">
        <v>0</v>
      </c>
      <c r="H9" s="122">
        <f>G9/L9</f>
        <v>0</v>
      </c>
      <c r="I9" s="25">
        <v>41</v>
      </c>
      <c r="J9" s="122">
        <f t="shared" si="2"/>
        <v>0.7321428571428571</v>
      </c>
      <c r="K9" s="122">
        <f t="shared" si="3"/>
        <v>1</v>
      </c>
      <c r="L9" s="25">
        <f t="shared" si="4"/>
        <v>56</v>
      </c>
      <c r="M9" s="25">
        <v>0</v>
      </c>
      <c r="N9" s="25">
        <f t="shared" si="5"/>
        <v>56</v>
      </c>
      <c r="O9" s="25">
        <f t="shared" si="6"/>
        <v>1294</v>
      </c>
      <c r="P9" s="224"/>
      <c r="Q9" s="214"/>
      <c r="R9" s="214"/>
      <c r="S9" s="214"/>
      <c r="T9" s="42"/>
      <c r="U9" s="42"/>
      <c r="V9" s="89">
        <f>F9</f>
        <v>0.26785714285714285</v>
      </c>
      <c r="W9" s="89">
        <f>H9</f>
        <v>0</v>
      </c>
      <c r="X9" s="89">
        <f>V9+W9</f>
        <v>0.26785714285714285</v>
      </c>
      <c r="Y9" s="42"/>
      <c r="Z9" s="42"/>
      <c r="AA9" s="41">
        <f>E9+G9</f>
        <v>15</v>
      </c>
      <c r="AB9" s="41">
        <f>C9</f>
        <v>1350</v>
      </c>
      <c r="AC9" s="41">
        <f>E9+G9</f>
        <v>15</v>
      </c>
      <c r="AD9" s="42"/>
      <c r="AE9" s="41"/>
      <c r="AF9" s="41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pans="1:64" ht="15" customHeight="1">
      <c r="A10" s="68" t="s">
        <v>102</v>
      </c>
      <c r="B10" s="68">
        <f>'f2'!C28</f>
        <v>661</v>
      </c>
      <c r="C10" s="25">
        <f>'f3'!B5</f>
        <v>562</v>
      </c>
      <c r="D10" s="26">
        <f t="shared" si="0"/>
        <v>12.455516014234876</v>
      </c>
      <c r="E10" s="25">
        <v>8</v>
      </c>
      <c r="F10" s="122">
        <f t="shared" si="1"/>
        <v>0.11594202898550725</v>
      </c>
      <c r="G10" s="25">
        <v>2</v>
      </c>
      <c r="H10" s="122">
        <f>G10/L10</f>
        <v>0.028985507246376812</v>
      </c>
      <c r="I10" s="25">
        <v>59</v>
      </c>
      <c r="J10" s="122">
        <f t="shared" si="2"/>
        <v>0.855072463768116</v>
      </c>
      <c r="K10" s="122">
        <f t="shared" si="3"/>
        <v>1</v>
      </c>
      <c r="L10" s="25">
        <f t="shared" si="4"/>
        <v>69</v>
      </c>
      <c r="M10" s="25">
        <v>1</v>
      </c>
      <c r="N10" s="25">
        <f t="shared" si="5"/>
        <v>70</v>
      </c>
      <c r="O10" s="25">
        <f t="shared" si="6"/>
        <v>492</v>
      </c>
      <c r="P10" s="121"/>
      <c r="Q10" s="40"/>
      <c r="R10" s="40"/>
      <c r="S10" s="40"/>
      <c r="T10" s="42"/>
      <c r="U10" s="42"/>
      <c r="V10" s="89"/>
      <c r="W10" s="89"/>
      <c r="X10" s="89"/>
      <c r="Y10" s="42"/>
      <c r="Z10" s="42"/>
      <c r="AA10" s="41"/>
      <c r="AB10" s="41"/>
      <c r="AC10" s="41"/>
      <c r="AD10" s="42"/>
      <c r="AE10" s="41"/>
      <c r="AF10" s="41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" customHeight="1">
      <c r="A11" s="68" t="s">
        <v>92</v>
      </c>
      <c r="B11" s="68">
        <f>'f2'!C16</f>
        <v>2718</v>
      </c>
      <c r="C11" s="25">
        <f>'f3'!B6</f>
        <v>2162</v>
      </c>
      <c r="D11" s="26">
        <f t="shared" si="0"/>
        <v>14.338575393154487</v>
      </c>
      <c r="E11" s="25">
        <v>9</v>
      </c>
      <c r="F11" s="122">
        <f t="shared" si="1"/>
        <v>0.02903225806451613</v>
      </c>
      <c r="G11" s="25">
        <v>3</v>
      </c>
      <c r="H11" s="122">
        <f aca="true" t="shared" si="7" ref="H11:H33">G11/L11</f>
        <v>0.00967741935483871</v>
      </c>
      <c r="I11" s="25">
        <v>298</v>
      </c>
      <c r="J11" s="122">
        <f t="shared" si="2"/>
        <v>0.9612903225806452</v>
      </c>
      <c r="K11" s="122">
        <f t="shared" si="3"/>
        <v>1</v>
      </c>
      <c r="L11" s="25">
        <f t="shared" si="4"/>
        <v>310</v>
      </c>
      <c r="M11" s="25">
        <v>0</v>
      </c>
      <c r="N11" s="25">
        <f t="shared" si="5"/>
        <v>310</v>
      </c>
      <c r="O11" s="25">
        <f t="shared" si="6"/>
        <v>1852</v>
      </c>
      <c r="P11" s="121"/>
      <c r="Q11" s="40"/>
      <c r="R11" s="40"/>
      <c r="S11" s="40"/>
      <c r="T11" s="42"/>
      <c r="U11" s="42"/>
      <c r="V11" s="89"/>
      <c r="W11" s="89"/>
      <c r="X11" s="89"/>
      <c r="Y11" s="42"/>
      <c r="Z11" s="42"/>
      <c r="AA11" s="41"/>
      <c r="AB11" s="41"/>
      <c r="AC11" s="41"/>
      <c r="AD11" s="42"/>
      <c r="AE11" s="41"/>
      <c r="AF11" s="41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15" customHeight="1">
      <c r="A12" s="68" t="s">
        <v>100</v>
      </c>
      <c r="B12" s="68">
        <f>'f2'!C17</f>
        <v>2297</v>
      </c>
      <c r="C12" s="25">
        <f>'f3'!B7</f>
        <v>848</v>
      </c>
      <c r="D12" s="26">
        <f t="shared" si="0"/>
        <v>10.377358490566039</v>
      </c>
      <c r="E12" s="25">
        <v>20</v>
      </c>
      <c r="F12" s="122">
        <f t="shared" si="1"/>
        <v>0.22727272727272727</v>
      </c>
      <c r="G12" s="25">
        <v>4</v>
      </c>
      <c r="H12" s="122">
        <f t="shared" si="7"/>
        <v>0.045454545454545456</v>
      </c>
      <c r="I12" s="25">
        <v>64</v>
      </c>
      <c r="J12" s="122">
        <f t="shared" si="2"/>
        <v>0.7272727272727273</v>
      </c>
      <c r="K12" s="122">
        <f t="shared" si="3"/>
        <v>1</v>
      </c>
      <c r="L12" s="25">
        <f t="shared" si="4"/>
        <v>88</v>
      </c>
      <c r="M12" s="25">
        <v>0</v>
      </c>
      <c r="N12" s="25">
        <f t="shared" si="5"/>
        <v>88</v>
      </c>
      <c r="O12" s="25">
        <f t="shared" si="6"/>
        <v>760</v>
      </c>
      <c r="P12" s="121"/>
      <c r="Q12" s="40"/>
      <c r="R12" s="40"/>
      <c r="S12" s="40"/>
      <c r="T12" s="42"/>
      <c r="U12" s="42"/>
      <c r="V12" s="89"/>
      <c r="W12" s="89"/>
      <c r="X12" s="89"/>
      <c r="Y12" s="42"/>
      <c r="Z12" s="42"/>
      <c r="AA12" s="41"/>
      <c r="AB12" s="41"/>
      <c r="AC12" s="41"/>
      <c r="AD12" s="42"/>
      <c r="AE12" s="41"/>
      <c r="AF12" s="41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15" customHeight="1">
      <c r="A13" s="68" t="s">
        <v>99</v>
      </c>
      <c r="B13" s="68">
        <f>'f2'!C24</f>
        <v>1152</v>
      </c>
      <c r="C13" s="25">
        <f>'f3'!B8</f>
        <v>990</v>
      </c>
      <c r="D13" s="26">
        <f t="shared" si="0"/>
        <v>5.353535353535353</v>
      </c>
      <c r="E13" s="25">
        <v>3</v>
      </c>
      <c r="F13" s="122">
        <f t="shared" si="1"/>
        <v>0.05660377358490566</v>
      </c>
      <c r="G13" s="25">
        <v>3</v>
      </c>
      <c r="H13" s="122">
        <f t="shared" si="7"/>
        <v>0.05660377358490566</v>
      </c>
      <c r="I13" s="25">
        <v>47</v>
      </c>
      <c r="J13" s="122">
        <f t="shared" si="2"/>
        <v>0.8867924528301887</v>
      </c>
      <c r="K13" s="122">
        <f t="shared" si="3"/>
        <v>1</v>
      </c>
      <c r="L13" s="25">
        <f t="shared" si="4"/>
        <v>53</v>
      </c>
      <c r="M13" s="25">
        <v>0</v>
      </c>
      <c r="N13" s="25">
        <f t="shared" si="5"/>
        <v>53</v>
      </c>
      <c r="O13" s="25">
        <f t="shared" si="6"/>
        <v>937</v>
      </c>
      <c r="P13" s="121"/>
      <c r="Q13" s="40"/>
      <c r="R13" s="40"/>
      <c r="S13" s="40"/>
      <c r="T13" s="42"/>
      <c r="U13" s="42"/>
      <c r="V13" s="89"/>
      <c r="W13" s="89"/>
      <c r="X13" s="89"/>
      <c r="Y13" s="42"/>
      <c r="Z13" s="42"/>
      <c r="AA13" s="41"/>
      <c r="AB13" s="41"/>
      <c r="AC13" s="41"/>
      <c r="AD13" s="42"/>
      <c r="AE13" s="41"/>
      <c r="AF13" s="41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" customHeight="1">
      <c r="A14" s="68" t="s">
        <v>164</v>
      </c>
      <c r="B14" s="68">
        <f>'f2'!C15</f>
        <v>2936</v>
      </c>
      <c r="C14" s="25">
        <f>'f3'!B9</f>
        <v>2383</v>
      </c>
      <c r="D14" s="26">
        <f t="shared" si="0"/>
        <v>8.308854385228702</v>
      </c>
      <c r="E14" s="25">
        <v>2</v>
      </c>
      <c r="F14" s="122">
        <f t="shared" si="1"/>
        <v>0.01015228426395939</v>
      </c>
      <c r="G14" s="25">
        <v>16</v>
      </c>
      <c r="H14" s="122">
        <f t="shared" si="7"/>
        <v>0.08121827411167512</v>
      </c>
      <c r="I14" s="25">
        <v>179</v>
      </c>
      <c r="J14" s="122">
        <f t="shared" si="2"/>
        <v>0.9086294416243654</v>
      </c>
      <c r="K14" s="122">
        <f t="shared" si="3"/>
        <v>1</v>
      </c>
      <c r="L14" s="25">
        <f t="shared" si="4"/>
        <v>197</v>
      </c>
      <c r="M14" s="25">
        <v>1</v>
      </c>
      <c r="N14" s="25">
        <f t="shared" si="5"/>
        <v>198</v>
      </c>
      <c r="O14" s="25">
        <f t="shared" si="6"/>
        <v>2185</v>
      </c>
      <c r="P14" s="121"/>
      <c r="Q14" s="40"/>
      <c r="R14" s="40"/>
      <c r="S14" s="40"/>
      <c r="T14" s="42"/>
      <c r="U14" s="42"/>
      <c r="V14" s="89"/>
      <c r="W14" s="89"/>
      <c r="X14" s="89"/>
      <c r="Y14" s="42"/>
      <c r="Z14" s="42"/>
      <c r="AA14" s="41"/>
      <c r="AB14" s="41"/>
      <c r="AC14" s="41"/>
      <c r="AD14" s="42"/>
      <c r="AE14" s="41"/>
      <c r="AF14" s="41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15" customHeight="1">
      <c r="A15" s="68" t="str">
        <f>'f2'!B4</f>
        <v>Cirò Marina</v>
      </c>
      <c r="B15" s="68">
        <f>'f2'!C4</f>
        <v>14902</v>
      </c>
      <c r="C15" s="25">
        <f>'f3'!B10</f>
        <v>11128</v>
      </c>
      <c r="D15" s="26">
        <f t="shared" si="0"/>
        <v>5.427749820273185</v>
      </c>
      <c r="E15" s="25">
        <v>93</v>
      </c>
      <c r="F15" s="122">
        <f t="shared" si="1"/>
        <v>0.15551839464882944</v>
      </c>
      <c r="G15" s="25">
        <v>18</v>
      </c>
      <c r="H15" s="122">
        <f t="shared" si="7"/>
        <v>0.030100334448160536</v>
      </c>
      <c r="I15" s="25">
        <v>487</v>
      </c>
      <c r="J15" s="122">
        <f t="shared" si="2"/>
        <v>0.81438127090301</v>
      </c>
      <c r="K15" s="122">
        <f t="shared" si="3"/>
        <v>1</v>
      </c>
      <c r="L15" s="25">
        <f t="shared" si="4"/>
        <v>598</v>
      </c>
      <c r="M15" s="25">
        <f>604-598</f>
        <v>6</v>
      </c>
      <c r="N15" s="25">
        <f t="shared" si="5"/>
        <v>604</v>
      </c>
      <c r="O15" s="25">
        <f t="shared" si="6"/>
        <v>10524</v>
      </c>
      <c r="P15" s="224"/>
      <c r="Q15" s="214"/>
      <c r="R15" s="214"/>
      <c r="S15" s="214"/>
      <c r="T15" s="42"/>
      <c r="U15" s="42"/>
      <c r="V15" s="89">
        <f>F15</f>
        <v>0.15551839464882944</v>
      </c>
      <c r="W15" s="89">
        <f>H15</f>
        <v>0.030100334448160536</v>
      </c>
      <c r="X15" s="89">
        <f>V15+W15</f>
        <v>0.18561872909698998</v>
      </c>
      <c r="Y15" s="42"/>
      <c r="Z15" s="42"/>
      <c r="AA15" s="41">
        <f>E15+G15</f>
        <v>111</v>
      </c>
      <c r="AB15" s="41">
        <f>C15</f>
        <v>11128</v>
      </c>
      <c r="AC15" s="41">
        <f>E15+G15</f>
        <v>111</v>
      </c>
      <c r="AD15" s="42"/>
      <c r="AE15" s="41"/>
      <c r="AF15" s="41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ht="15" customHeight="1">
      <c r="A16" s="68" t="s">
        <v>87</v>
      </c>
      <c r="B16" s="68">
        <f>'f2'!C10</f>
        <v>5480</v>
      </c>
      <c r="C16" s="25">
        <f>'f3'!B11</f>
        <v>4290</v>
      </c>
      <c r="D16" s="26">
        <f t="shared" si="0"/>
        <v>8.321678321678322</v>
      </c>
      <c r="E16" s="25">
        <v>32</v>
      </c>
      <c r="F16" s="122">
        <f t="shared" si="1"/>
        <v>0.09014084507042254</v>
      </c>
      <c r="G16" s="25">
        <v>16</v>
      </c>
      <c r="H16" s="122">
        <f t="shared" si="7"/>
        <v>0.04507042253521127</v>
      </c>
      <c r="I16" s="25">
        <v>307</v>
      </c>
      <c r="J16" s="122">
        <f t="shared" si="2"/>
        <v>0.8647887323943662</v>
      </c>
      <c r="K16" s="122">
        <f t="shared" si="3"/>
        <v>1</v>
      </c>
      <c r="L16" s="25">
        <f aca="true" t="shared" si="8" ref="L16:L33">N16-M16</f>
        <v>355</v>
      </c>
      <c r="M16" s="25">
        <v>2</v>
      </c>
      <c r="N16" s="25">
        <f aca="true" t="shared" si="9" ref="N16:N33">SUM(E16,G16,I16,M16)</f>
        <v>357</v>
      </c>
      <c r="O16" s="25">
        <f t="shared" si="6"/>
        <v>3933</v>
      </c>
      <c r="P16" s="121"/>
      <c r="Q16" s="40"/>
      <c r="R16" s="40"/>
      <c r="S16" s="40"/>
      <c r="T16" s="42"/>
      <c r="U16" s="42"/>
      <c r="V16" s="89"/>
      <c r="W16" s="89"/>
      <c r="X16" s="89"/>
      <c r="Y16" s="42"/>
      <c r="Z16" s="42"/>
      <c r="AA16" s="41"/>
      <c r="AB16" s="41"/>
      <c r="AC16" s="41"/>
      <c r="AD16" s="42"/>
      <c r="AE16" s="41"/>
      <c r="AF16" s="41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64" ht="15" customHeight="1">
      <c r="A17" s="68" t="s">
        <v>91</v>
      </c>
      <c r="B17" s="68">
        <f>'f2'!C14</f>
        <v>3115</v>
      </c>
      <c r="C17" s="25">
        <f>'f3'!B13</f>
        <v>2458</v>
      </c>
      <c r="D17" s="26">
        <f t="shared" si="0"/>
        <v>17.290480065093572</v>
      </c>
      <c r="E17" s="25">
        <v>18</v>
      </c>
      <c r="F17" s="122">
        <f aca="true" t="shared" si="10" ref="F17:F33">E17/L17</f>
        <v>0.0425531914893617</v>
      </c>
      <c r="G17" s="25">
        <v>21</v>
      </c>
      <c r="H17" s="122">
        <f t="shared" si="7"/>
        <v>0.04964539007092199</v>
      </c>
      <c r="I17" s="25">
        <v>384</v>
      </c>
      <c r="J17" s="122">
        <f aca="true" t="shared" si="11" ref="J17:J33">I17/L17</f>
        <v>0.9078014184397163</v>
      </c>
      <c r="K17" s="122">
        <f aca="true" t="shared" si="12" ref="K17:K33">F17+H17+J17</f>
        <v>1</v>
      </c>
      <c r="L17" s="25">
        <f t="shared" si="8"/>
        <v>423</v>
      </c>
      <c r="M17" s="25">
        <v>2</v>
      </c>
      <c r="N17" s="25">
        <f t="shared" si="9"/>
        <v>425</v>
      </c>
      <c r="O17" s="25">
        <f t="shared" si="6"/>
        <v>2033</v>
      </c>
      <c r="P17" s="121"/>
      <c r="Q17" s="40"/>
      <c r="R17" s="40"/>
      <c r="S17" s="40"/>
      <c r="T17" s="42"/>
      <c r="U17" s="42"/>
      <c r="V17" s="89"/>
      <c r="W17" s="89"/>
      <c r="X17" s="89"/>
      <c r="Y17" s="42"/>
      <c r="Z17" s="42"/>
      <c r="AA17" s="41"/>
      <c r="AB17" s="41"/>
      <c r="AC17" s="41"/>
      <c r="AD17" s="42"/>
      <c r="AE17" s="41"/>
      <c r="AF17" s="41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ht="15" customHeight="1">
      <c r="A18" s="68" t="str">
        <f>'f2'!B5</f>
        <v>Cutro</v>
      </c>
      <c r="B18" s="68">
        <f>'f2'!C5</f>
        <v>10541</v>
      </c>
      <c r="C18" s="25">
        <f>'f3'!B14</f>
        <v>7988</v>
      </c>
      <c r="D18" s="26">
        <f t="shared" si="0"/>
        <v>4.306459689534301</v>
      </c>
      <c r="E18" s="25">
        <v>211</v>
      </c>
      <c r="F18" s="122">
        <f t="shared" si="10"/>
        <v>0.6261127596439169</v>
      </c>
      <c r="G18" s="25">
        <v>7</v>
      </c>
      <c r="H18" s="122">
        <f t="shared" si="7"/>
        <v>0.020771513353115726</v>
      </c>
      <c r="I18" s="25">
        <v>119</v>
      </c>
      <c r="J18" s="122">
        <f t="shared" si="11"/>
        <v>0.35311572700296734</v>
      </c>
      <c r="K18" s="122">
        <f t="shared" si="12"/>
        <v>1</v>
      </c>
      <c r="L18" s="25">
        <f t="shared" si="8"/>
        <v>337</v>
      </c>
      <c r="M18" s="25">
        <f>344-337</f>
        <v>7</v>
      </c>
      <c r="N18" s="25">
        <f t="shared" si="9"/>
        <v>344</v>
      </c>
      <c r="O18" s="25">
        <f t="shared" si="6"/>
        <v>7644</v>
      </c>
      <c r="P18" s="224"/>
      <c r="Q18" s="214"/>
      <c r="R18" s="214"/>
      <c r="S18" s="214"/>
      <c r="T18" s="42"/>
      <c r="U18" s="42"/>
      <c r="V18" s="89">
        <f>F18</f>
        <v>0.6261127596439169</v>
      </c>
      <c r="W18" s="89">
        <f>H18</f>
        <v>0.020771513353115726</v>
      </c>
      <c r="X18" s="89">
        <f>V18+W18</f>
        <v>0.6468842729970327</v>
      </c>
      <c r="Y18" s="42"/>
      <c r="Z18" s="42"/>
      <c r="AA18" s="41">
        <f>E18+G18</f>
        <v>218</v>
      </c>
      <c r="AB18" s="41">
        <f>C18</f>
        <v>7988</v>
      </c>
      <c r="AC18" s="41">
        <f>E18+G18</f>
        <v>218</v>
      </c>
      <c r="AD18" s="42"/>
      <c r="AE18" s="41"/>
      <c r="AF18" s="41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ht="15" customHeight="1">
      <c r="A19" s="68" t="s">
        <v>107</v>
      </c>
      <c r="B19" s="68">
        <f>'f2'!C3</f>
        <v>17643</v>
      </c>
      <c r="C19" s="25">
        <f>'f3'!B15</f>
        <v>11756</v>
      </c>
      <c r="D19" s="26">
        <f t="shared" si="0"/>
        <v>2.1265736645117386</v>
      </c>
      <c r="E19" s="25">
        <v>4</v>
      </c>
      <c r="F19" s="122">
        <f t="shared" si="10"/>
        <v>0.016194331983805668</v>
      </c>
      <c r="G19" s="25">
        <v>11</v>
      </c>
      <c r="H19" s="122">
        <f t="shared" si="7"/>
        <v>0.044534412955465584</v>
      </c>
      <c r="I19" s="25">
        <v>232</v>
      </c>
      <c r="J19" s="122">
        <f t="shared" si="11"/>
        <v>0.9392712550607287</v>
      </c>
      <c r="K19" s="122">
        <f t="shared" si="12"/>
        <v>1</v>
      </c>
      <c r="L19" s="25">
        <f t="shared" si="8"/>
        <v>247</v>
      </c>
      <c r="M19" s="25">
        <v>3</v>
      </c>
      <c r="N19" s="25">
        <f t="shared" si="9"/>
        <v>250</v>
      </c>
      <c r="O19" s="25">
        <f t="shared" si="6"/>
        <v>11506</v>
      </c>
      <c r="P19" s="121"/>
      <c r="Q19" s="40"/>
      <c r="R19" s="40"/>
      <c r="S19" s="40"/>
      <c r="T19" s="42"/>
      <c r="U19" s="42"/>
      <c r="V19" s="89"/>
      <c r="W19" s="89"/>
      <c r="X19" s="89"/>
      <c r="Y19" s="42"/>
      <c r="Z19" s="42"/>
      <c r="AA19" s="41"/>
      <c r="AB19" s="41"/>
      <c r="AC19" s="41"/>
      <c r="AD19" s="42"/>
      <c r="AE19" s="41"/>
      <c r="AF19" s="41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5" customHeight="1">
      <c r="A20" s="68" t="s">
        <v>88</v>
      </c>
      <c r="B20" s="68">
        <f>'f2'!C11</f>
        <v>3549</v>
      </c>
      <c r="C20" s="25">
        <f>'f3'!B16</f>
        <v>2693</v>
      </c>
      <c r="D20" s="26">
        <f t="shared" si="0"/>
        <v>17.155588562940956</v>
      </c>
      <c r="E20" s="25">
        <v>5</v>
      </c>
      <c r="F20" s="122">
        <f t="shared" si="10"/>
        <v>0.010845986984815618</v>
      </c>
      <c r="G20" s="25">
        <v>8</v>
      </c>
      <c r="H20" s="122">
        <f t="shared" si="7"/>
        <v>0.01735357917570499</v>
      </c>
      <c r="I20" s="25">
        <v>448</v>
      </c>
      <c r="J20" s="122">
        <f t="shared" si="11"/>
        <v>0.9718004338394793</v>
      </c>
      <c r="K20" s="122">
        <f t="shared" si="12"/>
        <v>1</v>
      </c>
      <c r="L20" s="25">
        <f t="shared" si="8"/>
        <v>461</v>
      </c>
      <c r="M20" s="25">
        <v>1</v>
      </c>
      <c r="N20" s="25">
        <f t="shared" si="9"/>
        <v>462</v>
      </c>
      <c r="O20" s="25">
        <f t="shared" si="6"/>
        <v>2231</v>
      </c>
      <c r="P20" s="121"/>
      <c r="Q20" s="40"/>
      <c r="R20" s="40"/>
      <c r="S20" s="40"/>
      <c r="T20" s="42"/>
      <c r="U20" s="42"/>
      <c r="V20" s="89"/>
      <c r="W20" s="89"/>
      <c r="X20" s="89"/>
      <c r="Y20" s="42"/>
      <c r="Z20" s="42"/>
      <c r="AA20" s="41"/>
      <c r="AB20" s="41"/>
      <c r="AC20" s="41"/>
      <c r="AD20" s="42"/>
      <c r="AE20" s="41"/>
      <c r="AF20" s="41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ht="15" customHeight="1">
      <c r="A21" s="68" t="s">
        <v>86</v>
      </c>
      <c r="B21" s="68">
        <f>'f2'!C8</f>
        <v>6523</v>
      </c>
      <c r="C21" s="25">
        <f>'f3'!B17</f>
        <v>4992</v>
      </c>
      <c r="D21" s="26">
        <f t="shared" si="0"/>
        <v>5.048076923076923</v>
      </c>
      <c r="E21" s="25">
        <v>19</v>
      </c>
      <c r="F21" s="122">
        <f t="shared" si="10"/>
        <v>0.07569721115537849</v>
      </c>
      <c r="G21" s="25">
        <v>6</v>
      </c>
      <c r="H21" s="122">
        <f t="shared" si="7"/>
        <v>0.02390438247011952</v>
      </c>
      <c r="I21" s="25">
        <v>226</v>
      </c>
      <c r="J21" s="122">
        <f t="shared" si="11"/>
        <v>0.900398406374502</v>
      </c>
      <c r="K21" s="122">
        <f t="shared" si="12"/>
        <v>1</v>
      </c>
      <c r="L21" s="25">
        <f t="shared" si="8"/>
        <v>251</v>
      </c>
      <c r="M21" s="25">
        <v>1</v>
      </c>
      <c r="N21" s="25">
        <f t="shared" si="9"/>
        <v>252</v>
      </c>
      <c r="O21" s="25">
        <f t="shared" si="6"/>
        <v>4740</v>
      </c>
      <c r="P21" s="121"/>
      <c r="Q21" s="40"/>
      <c r="R21" s="40"/>
      <c r="S21" s="40"/>
      <c r="T21" s="42"/>
      <c r="U21" s="42"/>
      <c r="V21" s="89"/>
      <c r="W21" s="89"/>
      <c r="X21" s="89"/>
      <c r="Y21" s="42"/>
      <c r="Z21" s="42"/>
      <c r="AA21" s="41"/>
      <c r="AB21" s="41"/>
      <c r="AC21" s="41"/>
      <c r="AD21" s="42"/>
      <c r="AE21" s="41"/>
      <c r="AF21" s="41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64" ht="15" customHeight="1">
      <c r="A22" s="68" t="s">
        <v>98</v>
      </c>
      <c r="B22" s="68">
        <f>'f2'!C23</f>
        <v>1217</v>
      </c>
      <c r="C22" s="25">
        <f>'f3'!B18</f>
        <v>1061</v>
      </c>
      <c r="D22" s="26">
        <f t="shared" si="0"/>
        <v>7.445805843543826</v>
      </c>
      <c r="E22" s="25">
        <v>12</v>
      </c>
      <c r="F22" s="122">
        <f t="shared" si="10"/>
        <v>0.1518987341772152</v>
      </c>
      <c r="G22" s="25">
        <v>3</v>
      </c>
      <c r="H22" s="122">
        <f t="shared" si="7"/>
        <v>0.0379746835443038</v>
      </c>
      <c r="I22" s="25">
        <v>64</v>
      </c>
      <c r="J22" s="122">
        <f t="shared" si="11"/>
        <v>0.810126582278481</v>
      </c>
      <c r="K22" s="122">
        <f t="shared" si="12"/>
        <v>1</v>
      </c>
      <c r="L22" s="25">
        <f t="shared" si="8"/>
        <v>79</v>
      </c>
      <c r="M22" s="25">
        <v>0</v>
      </c>
      <c r="N22" s="25">
        <f t="shared" si="9"/>
        <v>79</v>
      </c>
      <c r="O22" s="25">
        <f t="shared" si="6"/>
        <v>982</v>
      </c>
      <c r="P22" s="121"/>
      <c r="Q22" s="40"/>
      <c r="R22" s="40"/>
      <c r="S22" s="40"/>
      <c r="T22" s="42"/>
      <c r="U22" s="42"/>
      <c r="V22" s="89"/>
      <c r="W22" s="89"/>
      <c r="X22" s="89"/>
      <c r="Y22" s="42"/>
      <c r="Z22" s="42"/>
      <c r="AA22" s="41"/>
      <c r="AB22" s="41"/>
      <c r="AC22" s="41"/>
      <c r="AD22" s="42"/>
      <c r="AE22" s="41"/>
      <c r="AF22" s="41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15" customHeight="1">
      <c r="A23" s="68" t="str">
        <f>'f2'!B6</f>
        <v>Petilia Policastro</v>
      </c>
      <c r="B23" s="68">
        <f>'f2'!C6</f>
        <v>9173</v>
      </c>
      <c r="C23" s="25">
        <f>'f3'!B19</f>
        <v>7134</v>
      </c>
      <c r="D23" s="26">
        <f t="shared" si="0"/>
        <v>6.56013456686291</v>
      </c>
      <c r="E23" s="25">
        <v>52</v>
      </c>
      <c r="F23" s="122">
        <f t="shared" si="10"/>
        <v>0.11134903640256959</v>
      </c>
      <c r="G23" s="25">
        <v>2</v>
      </c>
      <c r="H23" s="122">
        <f t="shared" si="7"/>
        <v>0.004282655246252677</v>
      </c>
      <c r="I23" s="25">
        <v>413</v>
      </c>
      <c r="J23" s="122">
        <f t="shared" si="11"/>
        <v>0.8843683083511777</v>
      </c>
      <c r="K23" s="122">
        <f t="shared" si="12"/>
        <v>1</v>
      </c>
      <c r="L23" s="25">
        <f t="shared" si="8"/>
        <v>467</v>
      </c>
      <c r="M23" s="25">
        <v>1</v>
      </c>
      <c r="N23" s="25">
        <f t="shared" si="9"/>
        <v>468</v>
      </c>
      <c r="O23" s="25">
        <f t="shared" si="6"/>
        <v>6666</v>
      </c>
      <c r="P23" s="224"/>
      <c r="Q23" s="214"/>
      <c r="R23" s="214"/>
      <c r="S23" s="214"/>
      <c r="T23" s="42"/>
      <c r="U23" s="42"/>
      <c r="V23" s="89">
        <f>F23</f>
        <v>0.11134903640256959</v>
      </c>
      <c r="W23" s="89">
        <f>H23</f>
        <v>0.004282655246252677</v>
      </c>
      <c r="X23" s="89">
        <f>V23+W23</f>
        <v>0.11563169164882227</v>
      </c>
      <c r="Y23" s="42"/>
      <c r="Z23" s="42"/>
      <c r="AA23" s="41">
        <f>E23+G23</f>
        <v>54</v>
      </c>
      <c r="AB23" s="41">
        <f>C23</f>
        <v>7134</v>
      </c>
      <c r="AC23" s="41">
        <f>E23+G23</f>
        <v>54</v>
      </c>
      <c r="AD23" s="42"/>
      <c r="AE23" s="41"/>
      <c r="AF23" s="41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ht="15" customHeight="1">
      <c r="A24" s="68" t="s">
        <v>108</v>
      </c>
      <c r="B24" s="68">
        <f>'f2'!C9</f>
        <v>5687</v>
      </c>
      <c r="C24" s="25">
        <f>'f3'!B20</f>
        <v>4307</v>
      </c>
      <c r="D24" s="26">
        <f t="shared" si="0"/>
        <v>7.127931274669143</v>
      </c>
      <c r="E24" s="25">
        <v>43</v>
      </c>
      <c r="F24" s="122">
        <f t="shared" si="10"/>
        <v>0.14006514657980457</v>
      </c>
      <c r="G24" s="25">
        <v>13</v>
      </c>
      <c r="H24" s="122">
        <f t="shared" si="7"/>
        <v>0.04234527687296417</v>
      </c>
      <c r="I24" s="25">
        <v>251</v>
      </c>
      <c r="J24" s="122">
        <f t="shared" si="11"/>
        <v>0.8175895765472313</v>
      </c>
      <c r="K24" s="122">
        <f t="shared" si="12"/>
        <v>1</v>
      </c>
      <c r="L24" s="25">
        <f t="shared" si="8"/>
        <v>307</v>
      </c>
      <c r="M24" s="25">
        <v>0</v>
      </c>
      <c r="N24" s="25">
        <f t="shared" si="9"/>
        <v>307</v>
      </c>
      <c r="O24" s="25">
        <f t="shared" si="6"/>
        <v>4000</v>
      </c>
      <c r="P24" s="83"/>
      <c r="Q24" s="40"/>
      <c r="R24" s="40"/>
      <c r="S24" s="40"/>
      <c r="T24" s="42"/>
      <c r="U24" s="42"/>
      <c r="V24" s="89"/>
      <c r="W24" s="89"/>
      <c r="X24" s="89"/>
      <c r="Y24" s="42"/>
      <c r="Z24" s="42"/>
      <c r="AA24" s="41"/>
      <c r="AB24" s="41"/>
      <c r="AC24" s="41"/>
      <c r="AD24" s="42"/>
      <c r="AE24" s="41"/>
      <c r="AF24" s="41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64" ht="15" customHeight="1">
      <c r="A25" s="68" t="s">
        <v>89</v>
      </c>
      <c r="B25" s="68">
        <f>'f2'!C12</f>
        <v>3393</v>
      </c>
      <c r="C25" s="25">
        <f>'f3'!B21</f>
        <v>2675</v>
      </c>
      <c r="D25" s="26">
        <f t="shared" si="0"/>
        <v>8.785046728971963</v>
      </c>
      <c r="E25" s="25">
        <v>1</v>
      </c>
      <c r="F25" s="122">
        <f t="shared" si="10"/>
        <v>0.00425531914893617</v>
      </c>
      <c r="G25" s="25">
        <v>8</v>
      </c>
      <c r="H25" s="122">
        <f t="shared" si="7"/>
        <v>0.03404255319148936</v>
      </c>
      <c r="I25" s="25">
        <v>226</v>
      </c>
      <c r="J25" s="122">
        <f t="shared" si="11"/>
        <v>0.9617021276595744</v>
      </c>
      <c r="K25" s="122">
        <f t="shared" si="12"/>
        <v>1</v>
      </c>
      <c r="L25" s="25">
        <f t="shared" si="8"/>
        <v>235</v>
      </c>
      <c r="M25" s="25">
        <v>0</v>
      </c>
      <c r="N25" s="25">
        <f t="shared" si="9"/>
        <v>235</v>
      </c>
      <c r="O25" s="25">
        <f t="shared" si="6"/>
        <v>2440</v>
      </c>
      <c r="P25" s="83"/>
      <c r="Q25" s="40"/>
      <c r="R25" s="40"/>
      <c r="S25" s="40"/>
      <c r="T25" s="42"/>
      <c r="U25" s="42"/>
      <c r="V25" s="89"/>
      <c r="W25" s="89"/>
      <c r="X25" s="89"/>
      <c r="Y25" s="42"/>
      <c r="Z25" s="42"/>
      <c r="AA25" s="41"/>
      <c r="AB25" s="41"/>
      <c r="AC25" s="41"/>
      <c r="AD25" s="42"/>
      <c r="AE25" s="41"/>
      <c r="AF25" s="41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ht="15" customHeight="1">
      <c r="A26" s="68" t="s">
        <v>93</v>
      </c>
      <c r="B26" s="68">
        <f>'f2'!C18</f>
        <v>2157</v>
      </c>
      <c r="C26" s="25">
        <f>'f3'!B22</f>
        <v>1721</v>
      </c>
      <c r="D26" s="26">
        <f t="shared" si="0"/>
        <v>2.6147588611272514</v>
      </c>
      <c r="E26" s="25">
        <v>23</v>
      </c>
      <c r="F26" s="122">
        <f t="shared" si="10"/>
        <v>0.5111111111111111</v>
      </c>
      <c r="G26" s="25">
        <v>5</v>
      </c>
      <c r="H26" s="122">
        <f t="shared" si="7"/>
        <v>0.1111111111111111</v>
      </c>
      <c r="I26" s="25">
        <v>17</v>
      </c>
      <c r="J26" s="122">
        <f t="shared" si="11"/>
        <v>0.37777777777777777</v>
      </c>
      <c r="K26" s="122">
        <f t="shared" si="12"/>
        <v>1</v>
      </c>
      <c r="L26" s="25">
        <f t="shared" si="8"/>
        <v>45</v>
      </c>
      <c r="M26" s="25">
        <v>0</v>
      </c>
      <c r="N26" s="25">
        <f t="shared" si="9"/>
        <v>45</v>
      </c>
      <c r="O26" s="25">
        <f t="shared" si="6"/>
        <v>1676</v>
      </c>
      <c r="P26" s="83"/>
      <c r="Q26" s="40"/>
      <c r="R26" s="40"/>
      <c r="S26" s="40"/>
      <c r="T26" s="42"/>
      <c r="U26" s="42"/>
      <c r="V26" s="89"/>
      <c r="W26" s="89"/>
      <c r="X26" s="89"/>
      <c r="Y26" s="42"/>
      <c r="Z26" s="42"/>
      <c r="AA26" s="41"/>
      <c r="AB26" s="41"/>
      <c r="AC26" s="41"/>
      <c r="AD26" s="42"/>
      <c r="AE26" s="41"/>
      <c r="AF26" s="41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5" customHeight="1">
      <c r="A27" s="68" t="s">
        <v>110</v>
      </c>
      <c r="B27" s="68">
        <f>'f2'!C27</f>
        <v>856</v>
      </c>
      <c r="C27" s="25">
        <f>'f3'!B23</f>
        <v>715</v>
      </c>
      <c r="D27" s="26">
        <f t="shared" si="0"/>
        <v>9.65034965034965</v>
      </c>
      <c r="E27" s="25">
        <v>8</v>
      </c>
      <c r="F27" s="122">
        <f t="shared" si="10"/>
        <v>0.11594202898550725</v>
      </c>
      <c r="G27" s="25">
        <v>1</v>
      </c>
      <c r="H27" s="122">
        <f t="shared" si="7"/>
        <v>0.014492753623188406</v>
      </c>
      <c r="I27" s="25">
        <v>60</v>
      </c>
      <c r="J27" s="122">
        <f t="shared" si="11"/>
        <v>0.8695652173913043</v>
      </c>
      <c r="K27" s="122">
        <f t="shared" si="12"/>
        <v>1</v>
      </c>
      <c r="L27" s="25">
        <f t="shared" si="8"/>
        <v>69</v>
      </c>
      <c r="M27" s="25">
        <v>0</v>
      </c>
      <c r="N27" s="25">
        <f t="shared" si="9"/>
        <v>69</v>
      </c>
      <c r="O27" s="25">
        <f t="shared" si="6"/>
        <v>646</v>
      </c>
      <c r="P27" s="83"/>
      <c r="Q27" s="40"/>
      <c r="R27" s="40"/>
      <c r="S27" s="40"/>
      <c r="T27" s="42"/>
      <c r="U27" s="42"/>
      <c r="V27" s="89"/>
      <c r="W27" s="89"/>
      <c r="X27" s="89"/>
      <c r="Y27" s="42"/>
      <c r="Z27" s="42"/>
      <c r="AA27" s="41"/>
      <c r="AB27" s="41"/>
      <c r="AC27" s="41"/>
      <c r="AD27" s="42"/>
      <c r="AE27" s="41"/>
      <c r="AF27" s="41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15" customHeight="1">
      <c r="A28" s="68" t="s">
        <v>94</v>
      </c>
      <c r="B28" s="68">
        <f>'f2'!C19</f>
        <v>2131</v>
      </c>
      <c r="C28" s="25">
        <f>'f3'!B24</f>
        <v>1707</v>
      </c>
      <c r="D28" s="26">
        <f t="shared" si="0"/>
        <v>8.494434680726421</v>
      </c>
      <c r="E28" s="25">
        <v>4</v>
      </c>
      <c r="F28" s="122">
        <f t="shared" si="10"/>
        <v>0.027586206896551724</v>
      </c>
      <c r="G28" s="25">
        <v>57</v>
      </c>
      <c r="H28" s="122">
        <f t="shared" si="7"/>
        <v>0.3931034482758621</v>
      </c>
      <c r="I28" s="25">
        <v>84</v>
      </c>
      <c r="J28" s="122">
        <f t="shared" si="11"/>
        <v>0.5793103448275863</v>
      </c>
      <c r="K28" s="122">
        <f t="shared" si="12"/>
        <v>1</v>
      </c>
      <c r="L28" s="25">
        <f t="shared" si="8"/>
        <v>145</v>
      </c>
      <c r="M28" s="25">
        <v>0</v>
      </c>
      <c r="N28" s="25">
        <f t="shared" si="9"/>
        <v>145</v>
      </c>
      <c r="O28" s="25">
        <f t="shared" si="6"/>
        <v>1562</v>
      </c>
      <c r="P28" s="83"/>
      <c r="Q28" s="40"/>
      <c r="R28" s="40"/>
      <c r="S28" s="40"/>
      <c r="T28" s="42"/>
      <c r="U28" s="42"/>
      <c r="V28" s="89"/>
      <c r="W28" s="89"/>
      <c r="X28" s="89"/>
      <c r="Y28" s="42"/>
      <c r="Z28" s="42"/>
      <c r="AA28" s="41"/>
      <c r="AB28" s="41"/>
      <c r="AC28" s="41"/>
      <c r="AD28" s="42"/>
      <c r="AE28" s="41"/>
      <c r="AF28" s="41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5" customHeight="1">
      <c r="A29" s="68" t="s">
        <v>97</v>
      </c>
      <c r="B29" s="68">
        <f>'f2'!C22</f>
        <v>1271</v>
      </c>
      <c r="C29" s="25">
        <f>'f3'!B25</f>
        <v>1082</v>
      </c>
      <c r="D29" s="26">
        <f t="shared" si="0"/>
        <v>0</v>
      </c>
      <c r="E29" s="25">
        <v>0</v>
      </c>
      <c r="F29" s="122">
        <v>0</v>
      </c>
      <c r="G29" s="25">
        <v>0</v>
      </c>
      <c r="H29" s="122">
        <v>0</v>
      </c>
      <c r="I29" s="25">
        <v>0</v>
      </c>
      <c r="J29" s="122">
        <v>0</v>
      </c>
      <c r="K29" s="122">
        <f t="shared" si="12"/>
        <v>0</v>
      </c>
      <c r="L29" s="25">
        <f t="shared" si="8"/>
        <v>0</v>
      </c>
      <c r="M29" s="25">
        <v>0</v>
      </c>
      <c r="N29" s="25">
        <f t="shared" si="9"/>
        <v>0</v>
      </c>
      <c r="O29" s="25">
        <f t="shared" si="6"/>
        <v>1082</v>
      </c>
      <c r="P29" s="83"/>
      <c r="Q29" s="40"/>
      <c r="R29" s="40"/>
      <c r="S29" s="40"/>
      <c r="T29" s="42"/>
      <c r="U29" s="42"/>
      <c r="V29" s="89"/>
      <c r="W29" s="89"/>
      <c r="X29" s="89"/>
      <c r="Y29" s="42"/>
      <c r="Z29" s="42"/>
      <c r="AA29" s="41"/>
      <c r="AB29" s="41"/>
      <c r="AC29" s="41"/>
      <c r="AD29" s="42"/>
      <c r="AE29" s="41"/>
      <c r="AF29" s="41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15" customHeight="1">
      <c r="A30" s="68" t="s">
        <v>90</v>
      </c>
      <c r="B30" s="68">
        <f>'f2'!C13</f>
        <v>3169</v>
      </c>
      <c r="C30" s="25">
        <f>'f3'!B26</f>
        <v>2479</v>
      </c>
      <c r="D30" s="26">
        <f t="shared" si="0"/>
        <v>6.736587333602259</v>
      </c>
      <c r="E30" s="25">
        <v>64</v>
      </c>
      <c r="F30" s="122">
        <f t="shared" si="10"/>
        <v>0.38323353293413176</v>
      </c>
      <c r="G30" s="25">
        <v>1</v>
      </c>
      <c r="H30" s="122">
        <f t="shared" si="7"/>
        <v>0.005988023952095809</v>
      </c>
      <c r="I30" s="25">
        <v>102</v>
      </c>
      <c r="J30" s="122">
        <f t="shared" si="11"/>
        <v>0.6107784431137725</v>
      </c>
      <c r="K30" s="122">
        <f t="shared" si="12"/>
        <v>1</v>
      </c>
      <c r="L30" s="25">
        <f t="shared" si="8"/>
        <v>167</v>
      </c>
      <c r="M30" s="25">
        <v>0</v>
      </c>
      <c r="N30" s="25">
        <f t="shared" si="9"/>
        <v>167</v>
      </c>
      <c r="O30" s="25">
        <f t="shared" si="6"/>
        <v>2312</v>
      </c>
      <c r="P30" s="83"/>
      <c r="Q30" s="40"/>
      <c r="R30" s="40"/>
      <c r="S30" s="40"/>
      <c r="T30" s="42"/>
      <c r="U30" s="42"/>
      <c r="V30" s="89"/>
      <c r="W30" s="89"/>
      <c r="X30" s="89"/>
      <c r="Y30" s="42"/>
      <c r="Z30" s="42"/>
      <c r="AA30" s="41"/>
      <c r="AB30" s="41"/>
      <c r="AC30" s="41"/>
      <c r="AD30" s="42"/>
      <c r="AE30" s="41"/>
      <c r="AF30" s="41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ht="15" customHeight="1">
      <c r="A31" s="68" t="str">
        <f>'f2'!B7</f>
        <v>Strongoli</v>
      </c>
      <c r="B31" s="68">
        <f>'f2'!C7</f>
        <v>6571</v>
      </c>
      <c r="C31" s="25">
        <f>'f3'!B27</f>
        <v>5134</v>
      </c>
      <c r="D31" s="26">
        <f t="shared" si="0"/>
        <v>12.972341254382547</v>
      </c>
      <c r="E31" s="25">
        <v>33</v>
      </c>
      <c r="F31" s="122">
        <f t="shared" si="10"/>
        <v>0.04962406015037594</v>
      </c>
      <c r="G31" s="25">
        <v>38</v>
      </c>
      <c r="H31" s="122">
        <f t="shared" si="7"/>
        <v>0.05714285714285714</v>
      </c>
      <c r="I31" s="25">
        <v>594</v>
      </c>
      <c r="J31" s="122">
        <f t="shared" si="11"/>
        <v>0.8932330827067669</v>
      </c>
      <c r="K31" s="122">
        <f t="shared" si="12"/>
        <v>1</v>
      </c>
      <c r="L31" s="25">
        <f t="shared" si="8"/>
        <v>665</v>
      </c>
      <c r="M31" s="25">
        <v>1</v>
      </c>
      <c r="N31" s="25">
        <f t="shared" si="9"/>
        <v>666</v>
      </c>
      <c r="O31" s="25">
        <f t="shared" si="6"/>
        <v>4468</v>
      </c>
      <c r="P31" s="42"/>
      <c r="Q31" s="42"/>
      <c r="R31" s="42"/>
      <c r="S31" s="42"/>
      <c r="T31" s="42"/>
      <c r="U31" s="42"/>
      <c r="V31" s="89">
        <f>F31</f>
        <v>0.04962406015037594</v>
      </c>
      <c r="W31" s="89">
        <f>H31</f>
        <v>0.05714285714285714</v>
      </c>
      <c r="X31" s="89">
        <f>V31+W31</f>
        <v>0.10676691729323308</v>
      </c>
      <c r="Y31" s="42"/>
      <c r="Z31" s="42"/>
      <c r="AA31" s="41">
        <f>E31+G31</f>
        <v>71</v>
      </c>
      <c r="AB31" s="41">
        <f>C31</f>
        <v>5134</v>
      </c>
      <c r="AC31" s="41">
        <f>E31+G31</f>
        <v>71</v>
      </c>
      <c r="AD31" s="42"/>
      <c r="AE31" s="41"/>
      <c r="AF31" s="41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15" customHeight="1">
      <c r="A32" s="68" t="s">
        <v>101</v>
      </c>
      <c r="B32" s="68">
        <f>'f2'!C26</f>
        <v>863</v>
      </c>
      <c r="C32" s="25">
        <f>'f3'!B28</f>
        <v>712</v>
      </c>
      <c r="D32" s="26">
        <f t="shared" si="0"/>
        <v>0</v>
      </c>
      <c r="E32" s="25">
        <v>0</v>
      </c>
      <c r="F32" s="122">
        <v>0</v>
      </c>
      <c r="G32" s="25">
        <v>0</v>
      </c>
      <c r="H32" s="122">
        <v>0</v>
      </c>
      <c r="I32" s="25">
        <v>0</v>
      </c>
      <c r="J32" s="122">
        <v>0</v>
      </c>
      <c r="K32" s="122">
        <v>0</v>
      </c>
      <c r="L32" s="25">
        <f t="shared" si="8"/>
        <v>0</v>
      </c>
      <c r="M32" s="25">
        <v>0</v>
      </c>
      <c r="N32" s="25">
        <f t="shared" si="9"/>
        <v>0</v>
      </c>
      <c r="O32" s="25">
        <f t="shared" si="6"/>
        <v>712</v>
      </c>
      <c r="P32" s="42"/>
      <c r="Q32" s="42"/>
      <c r="R32" s="42"/>
      <c r="S32" s="42"/>
      <c r="T32" s="42"/>
      <c r="U32" s="42"/>
      <c r="V32" s="89"/>
      <c r="W32" s="89"/>
      <c r="X32" s="89"/>
      <c r="Y32" s="42"/>
      <c r="Z32" s="42"/>
      <c r="AA32" s="41"/>
      <c r="AB32" s="41"/>
      <c r="AC32" s="41"/>
      <c r="AD32" s="42"/>
      <c r="AE32" s="41"/>
      <c r="AF32" s="41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" customHeight="1">
      <c r="A33" s="68" t="s">
        <v>95</v>
      </c>
      <c r="B33" s="68">
        <f>'f2'!C20</f>
        <v>1851</v>
      </c>
      <c r="C33" s="25">
        <f>'f3'!B29</f>
        <v>1535</v>
      </c>
      <c r="D33" s="26">
        <f t="shared" si="0"/>
        <v>5.602605863192182</v>
      </c>
      <c r="E33" s="25">
        <v>15</v>
      </c>
      <c r="F33" s="122">
        <f t="shared" si="10"/>
        <v>0.17647058823529413</v>
      </c>
      <c r="G33" s="25">
        <v>3</v>
      </c>
      <c r="H33" s="122">
        <f t="shared" si="7"/>
        <v>0.03529411764705882</v>
      </c>
      <c r="I33" s="25">
        <v>67</v>
      </c>
      <c r="J33" s="122">
        <f t="shared" si="11"/>
        <v>0.788235294117647</v>
      </c>
      <c r="K33" s="122">
        <f t="shared" si="12"/>
        <v>1</v>
      </c>
      <c r="L33" s="25">
        <f t="shared" si="8"/>
        <v>85</v>
      </c>
      <c r="M33" s="25">
        <v>1</v>
      </c>
      <c r="N33" s="25">
        <f t="shared" si="9"/>
        <v>86</v>
      </c>
      <c r="O33" s="25">
        <f t="shared" si="6"/>
        <v>1449</v>
      </c>
      <c r="P33" s="42"/>
      <c r="Q33" s="42"/>
      <c r="R33" s="42"/>
      <c r="S33" s="42"/>
      <c r="T33" s="42"/>
      <c r="U33" s="42"/>
      <c r="V33" s="89"/>
      <c r="W33" s="89"/>
      <c r="X33" s="89"/>
      <c r="Y33" s="42"/>
      <c r="Z33" s="42"/>
      <c r="AA33" s="41"/>
      <c r="AB33" s="41"/>
      <c r="AC33" s="41"/>
      <c r="AD33" s="42"/>
      <c r="AE33" s="41"/>
      <c r="AF33" s="41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ht="12.75">
      <c r="A34" s="93" t="s">
        <v>155</v>
      </c>
      <c r="B34" s="94">
        <f>SUM(B7:B33)</f>
        <v>175994</v>
      </c>
      <c r="C34" s="94">
        <f>SUM(C7:C33)</f>
        <v>133133</v>
      </c>
      <c r="D34" s="95">
        <f>ROUND(N34/C34*100,2)</f>
        <v>5.69</v>
      </c>
      <c r="E34" s="96">
        <f>SUM(E7:E33)</f>
        <v>1028</v>
      </c>
      <c r="F34" s="123">
        <f>E34/L34</f>
        <v>0.13681128560021294</v>
      </c>
      <c r="G34" s="96">
        <f>SUM(G7:G33)</f>
        <v>523</v>
      </c>
      <c r="H34" s="123">
        <f>G34/L34</f>
        <v>0.06960340697364918</v>
      </c>
      <c r="I34" s="96">
        <f>SUM(I7:I33)</f>
        <v>5963</v>
      </c>
      <c r="J34" s="123">
        <f>I34/L34</f>
        <v>0.7935853074261379</v>
      </c>
      <c r="K34" s="123">
        <f>SUM(F34,H34,J34)</f>
        <v>1</v>
      </c>
      <c r="L34" s="96">
        <f>SUM(L7:L33)</f>
        <v>7514</v>
      </c>
      <c r="M34" s="96">
        <f>SUM(M7:M33)</f>
        <v>63</v>
      </c>
      <c r="N34" s="96">
        <f>SUM(E34,G34,I34,M34)</f>
        <v>7577</v>
      </c>
      <c r="O34" s="94">
        <f t="shared" si="6"/>
        <v>125556</v>
      </c>
      <c r="P34" s="42"/>
      <c r="Q34" s="42"/>
      <c r="R34" s="42"/>
      <c r="S34" s="42"/>
      <c r="T34" s="42"/>
      <c r="U34" s="42"/>
      <c r="V34" s="89">
        <f>F34</f>
        <v>0.13681128560021294</v>
      </c>
      <c r="W34" s="89">
        <f>H34</f>
        <v>0.06960340697364918</v>
      </c>
      <c r="X34" s="89">
        <f>V34+W34</f>
        <v>0.20641469257386214</v>
      </c>
      <c r="Y34" s="42"/>
      <c r="Z34" s="42"/>
      <c r="AA34" s="41">
        <f>E34+G34</f>
        <v>1551</v>
      </c>
      <c r="AB34" s="41">
        <f>C34</f>
        <v>133133</v>
      </c>
      <c r="AC34" s="41">
        <f>E34+G34</f>
        <v>1551</v>
      </c>
      <c r="AD34" s="42"/>
      <c r="AE34" s="89">
        <f>D34</f>
        <v>5.69</v>
      </c>
      <c r="AF34" s="41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ht="12.75">
      <c r="A35" s="84"/>
      <c r="B35" s="48"/>
      <c r="C35" s="48"/>
      <c r="D35" s="85"/>
      <c r="E35" s="48"/>
      <c r="F35" s="85"/>
      <c r="G35" s="48"/>
      <c r="H35" s="85"/>
      <c r="I35" s="85"/>
      <c r="J35" s="85"/>
      <c r="K35" s="85"/>
      <c r="L35" s="48"/>
      <c r="M35" s="48"/>
      <c r="N35" s="48"/>
      <c r="O35" s="48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1">
        <f>E35+G35</f>
        <v>0</v>
      </c>
      <c r="AB35" s="41">
        <f>C35</f>
        <v>0</v>
      </c>
      <c r="AC35" s="41">
        <f>E35+G35</f>
        <v>0</v>
      </c>
      <c r="AD35" s="42"/>
      <c r="AE35" s="89" t="e">
        <f>AE34+#REF!</f>
        <v>#REF!</v>
      </c>
      <c r="AF35" s="41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4.5" customHeight="1">
      <c r="A36" s="40"/>
      <c r="B36" s="4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1"/>
      <c r="AB36" s="42"/>
      <c r="AC36" s="42"/>
      <c r="AD36" s="42"/>
      <c r="AE36" s="42" t="e">
        <f>HARMEAN(C35:AE35)/N35</f>
        <v>#REF!</v>
      </c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4.5" customHeight="1">
      <c r="A37" s="40"/>
      <c r="B37" s="40"/>
      <c r="C37" s="40"/>
      <c r="D37" s="43"/>
      <c r="E37" s="15"/>
      <c r="F37" s="43"/>
      <c r="G37" s="15"/>
      <c r="H37" s="43"/>
      <c r="I37" s="43"/>
      <c r="J37" s="43"/>
      <c r="K37" s="43"/>
      <c r="L37" s="15"/>
      <c r="M37" s="15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1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4.5" customHeight="1">
      <c r="A38" s="40"/>
      <c r="B38" s="15"/>
      <c r="C38" s="15"/>
      <c r="D38" s="15"/>
      <c r="E38" s="15"/>
      <c r="F38" s="43"/>
      <c r="G38" s="15"/>
      <c r="H38" s="43"/>
      <c r="I38" s="43"/>
      <c r="J38" s="43"/>
      <c r="K38" s="43"/>
      <c r="L38" s="15"/>
      <c r="M38" s="15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1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ht="12.75">
      <c r="A39" s="220"/>
      <c r="B39" s="221"/>
      <c r="C39" s="222"/>
      <c r="D39" s="47"/>
      <c r="E39" s="212"/>
      <c r="F39" s="223"/>
      <c r="G39" s="212"/>
      <c r="H39" s="223"/>
      <c r="I39" s="82"/>
      <c r="J39" s="82"/>
      <c r="K39" s="82"/>
      <c r="L39" s="48"/>
      <c r="M39" s="212"/>
      <c r="N39" s="83"/>
      <c r="O39" s="124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1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64" ht="12.75">
      <c r="A40" s="217"/>
      <c r="B40" s="222"/>
      <c r="C40" s="222"/>
      <c r="D40" s="47"/>
      <c r="E40" s="217"/>
      <c r="F40" s="217"/>
      <c r="G40" s="217"/>
      <c r="H40" s="217"/>
      <c r="I40" s="83"/>
      <c r="J40" s="83"/>
      <c r="K40" s="124"/>
      <c r="L40" s="48"/>
      <c r="M40" s="217"/>
      <c r="N40" s="47"/>
      <c r="O40" s="47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1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</row>
    <row r="41" spans="1:64" ht="12.75">
      <c r="A41" s="217"/>
      <c r="B41" s="212"/>
      <c r="C41" s="213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217"/>
      <c r="O41" s="217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1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</row>
    <row r="42" spans="1:64" ht="4.5" customHeight="1">
      <c r="A42" s="40"/>
      <c r="B42" s="40"/>
      <c r="C42" s="15"/>
      <c r="D42" s="15"/>
      <c r="E42" s="15"/>
      <c r="F42" s="43"/>
      <c r="G42" s="15"/>
      <c r="H42" s="43"/>
      <c r="I42" s="43"/>
      <c r="J42" s="43"/>
      <c r="K42" s="43"/>
      <c r="L42" s="15"/>
      <c r="M42" s="1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1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64" ht="4.5" customHeight="1">
      <c r="A43" s="40"/>
      <c r="B43" s="40"/>
      <c r="C43" s="15"/>
      <c r="D43" s="15"/>
      <c r="E43" s="15"/>
      <c r="F43" s="43"/>
      <c r="G43" s="15"/>
      <c r="H43" s="43"/>
      <c r="I43" s="43"/>
      <c r="J43" s="43"/>
      <c r="K43" s="43"/>
      <c r="L43" s="15"/>
      <c r="M43" s="1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1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ht="12.75">
      <c r="A44" s="47"/>
      <c r="B44" s="47"/>
      <c r="C44" s="47"/>
      <c r="D44" s="47"/>
      <c r="E44" s="47"/>
      <c r="F44" s="82"/>
      <c r="G44" s="47"/>
      <c r="H44" s="82"/>
      <c r="I44" s="82"/>
      <c r="J44" s="82"/>
      <c r="K44" s="82"/>
      <c r="L44" s="47"/>
      <c r="M44" s="47"/>
      <c r="N44" s="83"/>
      <c r="O44" s="83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1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ht="12.75">
      <c r="A45" s="83"/>
      <c r="B45" s="47"/>
      <c r="C45" s="47"/>
      <c r="D45" s="82"/>
      <c r="E45" s="47"/>
      <c r="F45" s="82"/>
      <c r="G45" s="47"/>
      <c r="H45" s="82"/>
      <c r="I45" s="82"/>
      <c r="J45" s="82"/>
      <c r="K45" s="82"/>
      <c r="L45" s="47"/>
      <c r="M45" s="47"/>
      <c r="N45" s="47"/>
      <c r="O45" s="47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1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50" ht="12.75">
      <c r="A46" s="40"/>
      <c r="B46" s="40"/>
      <c r="C46" s="15"/>
      <c r="D46" s="15"/>
      <c r="E46" s="15"/>
      <c r="F46" s="43"/>
      <c r="G46" s="40"/>
      <c r="H46" s="43"/>
      <c r="I46" s="43"/>
      <c r="J46" s="43"/>
      <c r="K46" s="43"/>
      <c r="L46" s="15"/>
      <c r="M46" s="15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1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ht="12.75">
      <c r="A47" s="40"/>
      <c r="B47" s="15"/>
      <c r="C47" s="15"/>
      <c r="D47" s="15"/>
      <c r="E47" s="90"/>
      <c r="F47" s="89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1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2.75">
      <c r="A48" s="40"/>
      <c r="B48" s="40"/>
      <c r="C48" s="15"/>
      <c r="D48" s="15"/>
      <c r="E48" s="42"/>
      <c r="F48" s="89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</row>
    <row r="49" spans="1:50" ht="12.75">
      <c r="A49" s="15"/>
      <c r="B49" s="40"/>
      <c r="C49" s="15"/>
      <c r="D49" s="15"/>
      <c r="E49" s="42"/>
      <c r="F49" s="89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:50" ht="12.75">
      <c r="A50" s="40"/>
      <c r="B50" s="40"/>
      <c r="C50" s="15"/>
      <c r="D50" s="15"/>
      <c r="E50" s="42"/>
      <c r="F50" s="89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ht="12.75">
      <c r="A51" s="40"/>
      <c r="B51" s="40"/>
      <c r="C51" s="15"/>
      <c r="D51" s="15"/>
      <c r="E51" s="42"/>
      <c r="F51" s="89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</row>
    <row r="52" spans="1:50" ht="12.75">
      <c r="A52" s="40"/>
      <c r="B52" s="40"/>
      <c r="C52" s="15"/>
      <c r="D52" s="15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</row>
    <row r="53" spans="1:50" ht="12.75">
      <c r="A53" s="40"/>
      <c r="B53" s="40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</row>
    <row r="54" spans="1:50" ht="12.75">
      <c r="A54" s="40"/>
      <c r="B54" s="40"/>
      <c r="C54" s="15"/>
      <c r="D54" s="15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</row>
    <row r="55" spans="1:50" ht="12.75">
      <c r="A55" s="40"/>
      <c r="B55" s="40"/>
      <c r="C55" s="15"/>
      <c r="D55" s="15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</row>
    <row r="56" spans="1:50" ht="12.75">
      <c r="A56" s="40"/>
      <c r="B56" s="40"/>
      <c r="C56" s="15"/>
      <c r="D56" s="15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</row>
    <row r="57" spans="1:50" ht="12.75">
      <c r="A57" s="40"/>
      <c r="B57" s="40"/>
      <c r="C57" s="15"/>
      <c r="D57" s="15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</row>
    <row r="58" spans="1:50" ht="12.75">
      <c r="A58" s="40"/>
      <c r="B58" s="91"/>
      <c r="C58" s="15"/>
      <c r="D58" s="15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</row>
    <row r="59" spans="1:50" ht="12.75">
      <c r="A59" s="40"/>
      <c r="B59" s="40"/>
      <c r="C59" s="15"/>
      <c r="D59" s="15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</row>
    <row r="60" spans="1:50" ht="12.75">
      <c r="A60" s="40"/>
      <c r="B60" s="40"/>
      <c r="C60" s="15"/>
      <c r="D60" s="15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</row>
    <row r="61" spans="1:50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</row>
    <row r="62" spans="1:50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</row>
    <row r="63" spans="1:50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</row>
    <row r="64" spans="1:50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</row>
    <row r="65" spans="1:50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</row>
    <row r="66" spans="1:50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</row>
    <row r="67" spans="1:50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</row>
    <row r="68" spans="1:50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</row>
    <row r="69" spans="1:50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</row>
    <row r="70" spans="1:50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</row>
    <row r="71" spans="1:50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</row>
    <row r="72" spans="1:50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</row>
    <row r="73" spans="1:50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</row>
    <row r="74" spans="1:50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</row>
    <row r="75" spans="1:50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</row>
    <row r="76" spans="1:50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</row>
    <row r="77" spans="1:50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</row>
    <row r="78" spans="1:50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</row>
    <row r="79" spans="1:50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</row>
    <row r="80" spans="1:50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</row>
    <row r="81" spans="1:50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</row>
    <row r="82" spans="1:50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</row>
    <row r="83" spans="1:50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</row>
    <row r="84" spans="1:50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</row>
    <row r="85" spans="1:50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</row>
    <row r="86" spans="1:50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</row>
    <row r="87" spans="1:50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</row>
    <row r="88" spans="1:50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</row>
    <row r="89" spans="1:50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</row>
    <row r="90" spans="1:50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</row>
    <row r="91" spans="1:50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</row>
    <row r="92" spans="1:50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</row>
    <row r="93" spans="1:50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</row>
    <row r="94" spans="1:50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</row>
    <row r="95" spans="1:50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</row>
    <row r="96" spans="1:50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</row>
    <row r="97" spans="1:50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</row>
    <row r="98" spans="1:50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</row>
    <row r="99" spans="1:50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</row>
    <row r="100" spans="1:5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</row>
    <row r="101" spans="1:5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</row>
    <row r="102" spans="1:5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</row>
    <row r="103" spans="1:5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</row>
    <row r="104" spans="1:5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</row>
    <row r="105" spans="1:5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</row>
    <row r="106" spans="1:50" ht="12.75">
      <c r="A106" s="42" t="str">
        <f>A7</f>
        <v>Crotone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</row>
    <row r="107" spans="1:50" ht="12.75">
      <c r="A107" s="42" t="str">
        <f>A9</f>
        <v>Caccuri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</row>
    <row r="108" spans="1:50" ht="12.75">
      <c r="A108" s="42" t="str">
        <f>A15</f>
        <v>Cirò Marina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</row>
    <row r="109" spans="1:50" ht="12.75">
      <c r="A109" s="42" t="str">
        <f>A18</f>
        <v>Cutro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</row>
    <row r="110" spans="1:50" ht="12.75">
      <c r="A110" s="42" t="str">
        <f>A23</f>
        <v>Petilia Policastro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</row>
    <row r="111" spans="1:50" ht="12.75">
      <c r="A111" s="42" t="str">
        <f>A31</f>
        <v>Strongoli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</row>
    <row r="112" spans="1:50" ht="12.75">
      <c r="A112" s="42" t="e">
        <f>#REF!</f>
        <v>#REF!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</row>
    <row r="113" spans="1:50" ht="12.75">
      <c r="A113" s="42" t="e">
        <f>#REF!</f>
        <v>#REF!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</row>
    <row r="114" spans="1:50" ht="12.75">
      <c r="A114" s="42" t="e">
        <f>#REF!</f>
        <v>#REF!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</row>
    <row r="115" spans="1:50" ht="12.75">
      <c r="A115" s="42" t="e">
        <f>#REF!</f>
        <v>#REF!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</row>
    <row r="116" spans="1:50" ht="12.75">
      <c r="A116" s="42" t="e">
        <f>#REF!</f>
        <v>#REF!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</row>
    <row r="117" spans="1:50" ht="12.75">
      <c r="A117" s="42" t="e">
        <f>#REF!</f>
        <v>#REF!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</row>
    <row r="118" spans="1:50" ht="12.75">
      <c r="A118" s="42" t="e">
        <f>#REF!</f>
        <v>#REF!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</row>
    <row r="119" spans="1:50" ht="12.75">
      <c r="A119" s="42" t="e">
        <f>#REF!</f>
        <v>#REF!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</row>
    <row r="120" spans="1:50" ht="12.75">
      <c r="A120" s="42" t="e">
        <f>#REF!</f>
        <v>#REF!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</row>
    <row r="121" spans="1:50" ht="12.75">
      <c r="A121" s="42" t="e">
        <f>#REF!</f>
        <v>#REF!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</row>
    <row r="122" ht="12.75">
      <c r="A122" s="42" t="e">
        <f>#REF!</f>
        <v>#REF!</v>
      </c>
    </row>
    <row r="123" ht="12.75">
      <c r="A123" s="42" t="e">
        <f>#REF!</f>
        <v>#REF!</v>
      </c>
    </row>
    <row r="124" ht="12.75">
      <c r="A124" s="42" t="e">
        <f>#REF!</f>
        <v>#REF!</v>
      </c>
    </row>
    <row r="125" ht="12.75">
      <c r="A125" s="42" t="e">
        <f>#REF!</f>
        <v>#REF!</v>
      </c>
    </row>
    <row r="126" ht="12.75">
      <c r="A126" s="42" t="str">
        <f>A34</f>
        <v>totale </v>
      </c>
    </row>
    <row r="127" ht="12.75">
      <c r="A127" s="42" t="e">
        <f>#REF!</f>
        <v>#REF!</v>
      </c>
    </row>
    <row r="128" ht="12.75">
      <c r="A128" s="42">
        <f>A35</f>
        <v>0</v>
      </c>
    </row>
    <row r="129" ht="12.75">
      <c r="A129" s="42"/>
    </row>
    <row r="130" ht="12.75">
      <c r="A130" s="42"/>
    </row>
  </sheetData>
  <sheetProtection/>
  <mergeCells count="22">
    <mergeCell ref="P5:S5"/>
    <mergeCell ref="P6:S6"/>
    <mergeCell ref="P7:S7"/>
    <mergeCell ref="P9:S9"/>
    <mergeCell ref="P15:S15"/>
    <mergeCell ref="P18:S18"/>
    <mergeCell ref="P23:S23"/>
    <mergeCell ref="M39:M40"/>
    <mergeCell ref="A1:O4"/>
    <mergeCell ref="N41:O41"/>
    <mergeCell ref="A5:A6"/>
    <mergeCell ref="C5:C6"/>
    <mergeCell ref="A39:A41"/>
    <mergeCell ref="B39:C40"/>
    <mergeCell ref="E39:E40"/>
    <mergeCell ref="F39:F40"/>
    <mergeCell ref="G39:G40"/>
    <mergeCell ref="H39:H40"/>
    <mergeCell ref="F5:F6"/>
    <mergeCell ref="H5:H6"/>
    <mergeCell ref="J5:J6"/>
    <mergeCell ref="B41:C41"/>
  </mergeCells>
  <printOptions/>
  <pageMargins left="0.75" right="0.75" top="1" bottom="1" header="0.5" footer="0.5"/>
  <pageSetup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A1">
      <selection activeCell="A1" sqref="A1:M2"/>
    </sheetView>
  </sheetViews>
  <sheetFormatPr defaultColWidth="9.140625" defaultRowHeight="15"/>
  <cols>
    <col min="1" max="1" width="21.28125" style="140" customWidth="1"/>
    <col min="2" max="2" width="8.7109375" style="140" customWidth="1"/>
    <col min="3" max="3" width="8.8515625" style="140" customWidth="1"/>
    <col min="4" max="4" width="7.421875" style="140" customWidth="1"/>
    <col min="5" max="5" width="9.7109375" style="140" bestFit="1" customWidth="1"/>
    <col min="6" max="6" width="7.7109375" style="140" customWidth="1"/>
    <col min="7" max="7" width="7.28125" style="140" customWidth="1"/>
    <col min="8" max="8" width="8.7109375" style="140" customWidth="1"/>
    <col min="9" max="9" width="7.8515625" style="140" customWidth="1"/>
    <col min="10" max="10" width="8.57421875" style="140" customWidth="1"/>
    <col min="11" max="11" width="10.00390625" style="140" customWidth="1"/>
    <col min="12" max="12" width="8.57421875" style="140" customWidth="1"/>
    <col min="13" max="13" width="10.57421875" style="140" customWidth="1"/>
    <col min="14" max="14" width="10.00390625" style="140" customWidth="1"/>
    <col min="15" max="15" width="13.28125" style="140" customWidth="1"/>
    <col min="16" max="16" width="10.7109375" style="140" customWidth="1"/>
    <col min="17" max="16384" width="9.140625" style="140" customWidth="1"/>
  </cols>
  <sheetData>
    <row r="1" spans="1:17" ht="12">
      <c r="A1" s="241" t="s">
        <v>178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  <c r="M1" s="242"/>
      <c r="N1" s="236" t="s">
        <v>10</v>
      </c>
      <c r="O1" s="227" t="s">
        <v>179</v>
      </c>
      <c r="P1" s="233"/>
      <c r="Q1" s="238" t="s">
        <v>180</v>
      </c>
    </row>
    <row r="2" spans="1:17" ht="12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/>
      <c r="M2" s="242"/>
      <c r="N2" s="240"/>
      <c r="O2" s="234"/>
      <c r="P2" s="235"/>
      <c r="Q2" s="238"/>
    </row>
    <row r="3" spans="1:17" ht="12">
      <c r="A3" s="242" t="s">
        <v>116</v>
      </c>
      <c r="B3" s="236" t="s">
        <v>170</v>
      </c>
      <c r="C3" s="129" t="s">
        <v>169</v>
      </c>
      <c r="D3" s="143" t="s">
        <v>173</v>
      </c>
      <c r="E3" s="129" t="s">
        <v>182</v>
      </c>
      <c r="F3" s="81" t="s">
        <v>176</v>
      </c>
      <c r="G3" s="126" t="s">
        <v>30</v>
      </c>
      <c r="H3" s="126" t="s">
        <v>10</v>
      </c>
      <c r="I3" s="81" t="s">
        <v>47</v>
      </c>
      <c r="J3" s="126" t="s">
        <v>10</v>
      </c>
      <c r="K3" s="126" t="s">
        <v>47</v>
      </c>
      <c r="L3" s="126" t="s">
        <v>10</v>
      </c>
      <c r="M3" s="126" t="s">
        <v>47</v>
      </c>
      <c r="N3" s="128" t="s">
        <v>59</v>
      </c>
      <c r="O3" s="129" t="s">
        <v>29</v>
      </c>
      <c r="P3" s="236" t="s">
        <v>62</v>
      </c>
      <c r="Q3" s="238" t="s">
        <v>181</v>
      </c>
    </row>
    <row r="4" spans="1:17" ht="15.75" thickBot="1">
      <c r="A4" s="243"/>
      <c r="B4" s="244"/>
      <c r="C4" s="147" t="s">
        <v>10</v>
      </c>
      <c r="D4" s="231" t="s">
        <v>175</v>
      </c>
      <c r="E4" s="232"/>
      <c r="F4" s="145" t="s">
        <v>163</v>
      </c>
      <c r="G4" s="146" t="s">
        <v>32</v>
      </c>
      <c r="H4" s="146" t="s">
        <v>32</v>
      </c>
      <c r="I4" s="145" t="s">
        <v>29</v>
      </c>
      <c r="J4" s="146"/>
      <c r="K4" s="146" t="s">
        <v>174</v>
      </c>
      <c r="L4" s="146"/>
      <c r="M4" s="146" t="s">
        <v>61</v>
      </c>
      <c r="N4" s="145" t="s">
        <v>29</v>
      </c>
      <c r="O4" s="148" t="s">
        <v>177</v>
      </c>
      <c r="P4" s="237"/>
      <c r="Q4" s="239"/>
    </row>
    <row r="5" spans="1:17" ht="12">
      <c r="A5" s="134" t="s">
        <v>166</v>
      </c>
      <c r="B5" s="130">
        <v>47905</v>
      </c>
      <c r="C5" s="133">
        <f>(I5/$I$32)</f>
        <v>0.33450214181141213</v>
      </c>
      <c r="D5" s="130">
        <v>6151</v>
      </c>
      <c r="E5" s="133">
        <f>D5/$D$32</f>
        <v>0.3557136247975943</v>
      </c>
      <c r="F5" s="130">
        <f>D5</f>
        <v>6151</v>
      </c>
      <c r="G5" s="134">
        <f>362+74+3</f>
        <v>439</v>
      </c>
      <c r="H5" s="133">
        <f>G5/$G$32</f>
        <v>0.15746054519368724</v>
      </c>
      <c r="I5" s="130">
        <v>18507</v>
      </c>
      <c r="J5" s="133">
        <f>I5/$I$32</f>
        <v>0.33450214181141213</v>
      </c>
      <c r="K5" s="130">
        <f>I5-G5</f>
        <v>18068</v>
      </c>
      <c r="L5" s="133">
        <f>K5/$K$32</f>
        <v>0.34389691467290967</v>
      </c>
      <c r="M5" s="130">
        <f>B5-I5</f>
        <v>29398</v>
      </c>
      <c r="N5" s="133">
        <f>M5/$M$32</f>
        <v>0.34501455262416675</v>
      </c>
      <c r="O5" s="130">
        <f>I5+M5</f>
        <v>47905</v>
      </c>
      <c r="P5" s="130">
        <f>B5-O5</f>
        <v>0</v>
      </c>
      <c r="Q5" s="134">
        <v>1</v>
      </c>
    </row>
    <row r="6" spans="1:17" ht="12">
      <c r="A6" s="107" t="s">
        <v>167</v>
      </c>
      <c r="B6" s="131">
        <v>1978</v>
      </c>
      <c r="C6" s="133">
        <f aca="true" t="shared" si="0" ref="C6:C31">(I6/$I$32)</f>
        <v>0.0229363601858044</v>
      </c>
      <c r="D6" s="131">
        <v>439</v>
      </c>
      <c r="E6" s="133">
        <f aca="true" t="shared" si="1" ref="E6:E31">D6/$D$32</f>
        <v>0.025387462410363174</v>
      </c>
      <c r="F6" s="130">
        <f aca="true" t="shared" si="2" ref="F6:F31">D6</f>
        <v>439</v>
      </c>
      <c r="G6" s="107">
        <f>28+158</f>
        <v>186</v>
      </c>
      <c r="H6" s="133">
        <f aca="true" t="shared" si="3" ref="H6:H31">G6/$G$32</f>
        <v>0.0667144906743185</v>
      </c>
      <c r="I6" s="130">
        <v>1269</v>
      </c>
      <c r="J6" s="133">
        <f aca="true" t="shared" si="4" ref="J6:J31">I6/$I$32</f>
        <v>0.0229363601858044</v>
      </c>
      <c r="K6" s="130">
        <f aca="true" t="shared" si="5" ref="K6:K31">I6-G6</f>
        <v>1083</v>
      </c>
      <c r="L6" s="133">
        <f aca="true" t="shared" si="6" ref="L6:L31">K6/$K$32</f>
        <v>0.02061325872209216</v>
      </c>
      <c r="M6" s="130">
        <f aca="true" t="shared" si="7" ref="M6:M31">B6-I6</f>
        <v>709</v>
      </c>
      <c r="N6" s="133">
        <f aca="true" t="shared" si="8" ref="N6:N31">M6/$M$32</f>
        <v>0.008320814946953338</v>
      </c>
      <c r="O6" s="131">
        <f aca="true" t="shared" si="9" ref="O6:O31">I6+M6</f>
        <v>1978</v>
      </c>
      <c r="P6" s="130">
        <f aca="true" t="shared" si="10" ref="P6:P31">B6-O6</f>
        <v>0</v>
      </c>
      <c r="Q6" s="107">
        <v>1</v>
      </c>
    </row>
    <row r="7" spans="1:17" ht="12">
      <c r="A7" s="107" t="s">
        <v>96</v>
      </c>
      <c r="B7" s="131">
        <v>1596</v>
      </c>
      <c r="C7" s="133">
        <f t="shared" si="0"/>
        <v>0.02051439622607407</v>
      </c>
      <c r="D7" s="131">
        <v>232</v>
      </c>
      <c r="E7" s="133">
        <f t="shared" si="1"/>
        <v>0.013416608836456165</v>
      </c>
      <c r="F7" s="130">
        <f t="shared" si="2"/>
        <v>232</v>
      </c>
      <c r="G7" s="107">
        <f>17+80</f>
        <v>97</v>
      </c>
      <c r="H7" s="133">
        <f t="shared" si="3"/>
        <v>0.03479196556671449</v>
      </c>
      <c r="I7" s="130">
        <v>1135</v>
      </c>
      <c r="J7" s="133">
        <f t="shared" si="4"/>
        <v>0.02051439622607407</v>
      </c>
      <c r="K7" s="130">
        <f t="shared" si="5"/>
        <v>1038</v>
      </c>
      <c r="L7" s="133">
        <f t="shared" si="6"/>
        <v>0.019756752126991378</v>
      </c>
      <c r="M7" s="130">
        <f t="shared" si="7"/>
        <v>461</v>
      </c>
      <c r="N7" s="133">
        <f t="shared" si="8"/>
        <v>0.005410290113604357</v>
      </c>
      <c r="O7" s="131">
        <f t="shared" si="9"/>
        <v>1596</v>
      </c>
      <c r="P7" s="130">
        <f t="shared" si="10"/>
        <v>0</v>
      </c>
      <c r="Q7" s="107">
        <v>2</v>
      </c>
    </row>
    <row r="8" spans="1:17" ht="12">
      <c r="A8" s="107" t="s">
        <v>102</v>
      </c>
      <c r="B8" s="131">
        <v>543</v>
      </c>
      <c r="C8" s="133">
        <f t="shared" si="0"/>
        <v>0.006560991920762015</v>
      </c>
      <c r="D8" s="131">
        <v>53</v>
      </c>
      <c r="E8" s="133">
        <f t="shared" si="1"/>
        <v>0.00306500115660421</v>
      </c>
      <c r="F8" s="130">
        <f t="shared" si="2"/>
        <v>53</v>
      </c>
      <c r="G8" s="107">
        <v>25</v>
      </c>
      <c r="H8" s="133">
        <f t="shared" si="3"/>
        <v>0.008967001434720229</v>
      </c>
      <c r="I8" s="130">
        <v>363</v>
      </c>
      <c r="J8" s="133">
        <f t="shared" si="4"/>
        <v>0.006560991920762015</v>
      </c>
      <c r="K8" s="130">
        <f t="shared" si="5"/>
        <v>338</v>
      </c>
      <c r="L8" s="133">
        <f t="shared" si="6"/>
        <v>0.006433316203201431</v>
      </c>
      <c r="M8" s="130">
        <f t="shared" si="7"/>
        <v>180</v>
      </c>
      <c r="N8" s="133">
        <f t="shared" si="8"/>
        <v>0.0021124777016242606</v>
      </c>
      <c r="O8" s="131">
        <f t="shared" si="9"/>
        <v>543</v>
      </c>
      <c r="P8" s="130">
        <f t="shared" si="10"/>
        <v>0</v>
      </c>
      <c r="Q8" s="107">
        <v>3</v>
      </c>
    </row>
    <row r="9" spans="1:17" ht="12">
      <c r="A9" s="107" t="s">
        <v>92</v>
      </c>
      <c r="B9" s="131">
        <v>2174</v>
      </c>
      <c r="C9" s="133">
        <f t="shared" si="0"/>
        <v>0.01462215554792416</v>
      </c>
      <c r="D9" s="131">
        <v>272</v>
      </c>
      <c r="E9" s="133">
        <f t="shared" si="1"/>
        <v>0.015729817256534814</v>
      </c>
      <c r="F9" s="130">
        <f t="shared" si="2"/>
        <v>272</v>
      </c>
      <c r="G9" s="107">
        <v>40</v>
      </c>
      <c r="H9" s="133">
        <f t="shared" si="3"/>
        <v>0.014347202295552367</v>
      </c>
      <c r="I9" s="130">
        <v>809</v>
      </c>
      <c r="J9" s="133">
        <f t="shared" si="4"/>
        <v>0.01462215554792416</v>
      </c>
      <c r="K9" s="130">
        <f t="shared" si="5"/>
        <v>769</v>
      </c>
      <c r="L9" s="133">
        <f t="shared" si="6"/>
        <v>0.014636746036277813</v>
      </c>
      <c r="M9" s="130">
        <f t="shared" si="7"/>
        <v>1365</v>
      </c>
      <c r="N9" s="133">
        <f t="shared" si="8"/>
        <v>0.016019622570650642</v>
      </c>
      <c r="O9" s="131">
        <f t="shared" si="9"/>
        <v>2174</v>
      </c>
      <c r="P9" s="130">
        <f t="shared" si="10"/>
        <v>0</v>
      </c>
      <c r="Q9" s="107">
        <v>1</v>
      </c>
    </row>
    <row r="10" spans="1:17" ht="12">
      <c r="A10" s="107" t="s">
        <v>100</v>
      </c>
      <c r="B10" s="131">
        <v>1254</v>
      </c>
      <c r="C10" s="133">
        <f t="shared" si="0"/>
        <v>0.0134653966417843</v>
      </c>
      <c r="D10" s="131">
        <v>189</v>
      </c>
      <c r="E10" s="133">
        <f t="shared" si="1"/>
        <v>0.010929909784871617</v>
      </c>
      <c r="F10" s="130">
        <f t="shared" si="2"/>
        <v>189</v>
      </c>
      <c r="G10" s="107">
        <f>19+82</f>
        <v>101</v>
      </c>
      <c r="H10" s="133">
        <f t="shared" si="3"/>
        <v>0.036226685796269725</v>
      </c>
      <c r="I10" s="130">
        <v>745</v>
      </c>
      <c r="J10" s="133">
        <f t="shared" si="4"/>
        <v>0.0134653966417843</v>
      </c>
      <c r="K10" s="130">
        <f t="shared" si="5"/>
        <v>644</v>
      </c>
      <c r="L10" s="133">
        <f t="shared" si="6"/>
        <v>0.012257561049886751</v>
      </c>
      <c r="M10" s="130">
        <f t="shared" si="7"/>
        <v>509</v>
      </c>
      <c r="N10" s="133">
        <f t="shared" si="8"/>
        <v>0.005973617500704159</v>
      </c>
      <c r="O10" s="131">
        <f t="shared" si="9"/>
        <v>1254</v>
      </c>
      <c r="P10" s="130">
        <f t="shared" si="10"/>
        <v>0</v>
      </c>
      <c r="Q10" s="107">
        <v>1</v>
      </c>
    </row>
    <row r="11" spans="1:17" ht="12">
      <c r="A11" s="107" t="s">
        <v>99</v>
      </c>
      <c r="B11" s="131">
        <v>1093</v>
      </c>
      <c r="C11" s="133">
        <f t="shared" si="0"/>
        <v>0.008494948216964593</v>
      </c>
      <c r="D11" s="131">
        <v>74</v>
      </c>
      <c r="E11" s="133">
        <f t="shared" si="1"/>
        <v>0.0042794355771455005</v>
      </c>
      <c r="F11" s="130">
        <f t="shared" si="2"/>
        <v>74</v>
      </c>
      <c r="G11" s="107">
        <v>25</v>
      </c>
      <c r="H11" s="133">
        <f t="shared" si="3"/>
        <v>0.008967001434720229</v>
      </c>
      <c r="I11" s="130">
        <v>470</v>
      </c>
      <c r="J11" s="133">
        <f t="shared" si="4"/>
        <v>0.008494948216964593</v>
      </c>
      <c r="K11" s="130">
        <f t="shared" si="5"/>
        <v>445</v>
      </c>
      <c r="L11" s="133">
        <f t="shared" si="6"/>
        <v>0.00846989855155218</v>
      </c>
      <c r="M11" s="130">
        <f t="shared" si="7"/>
        <v>623</v>
      </c>
      <c r="N11" s="133">
        <f t="shared" si="8"/>
        <v>0.0073115200450661905</v>
      </c>
      <c r="O11" s="131">
        <f t="shared" si="9"/>
        <v>1093</v>
      </c>
      <c r="P11" s="130">
        <f t="shared" si="10"/>
        <v>0</v>
      </c>
      <c r="Q11" s="107">
        <v>3</v>
      </c>
    </row>
    <row r="12" spans="1:17" ht="12">
      <c r="A12" s="107" t="s">
        <v>164</v>
      </c>
      <c r="B12" s="131">
        <v>2743</v>
      </c>
      <c r="C12" s="133">
        <f t="shared" si="0"/>
        <v>0.011730258282574511</v>
      </c>
      <c r="D12" s="131">
        <v>171</v>
      </c>
      <c r="E12" s="133">
        <f t="shared" si="1"/>
        <v>0.009888965995836226</v>
      </c>
      <c r="F12" s="130">
        <f t="shared" si="2"/>
        <v>171</v>
      </c>
      <c r="G12" s="107">
        <v>29</v>
      </c>
      <c r="H12" s="133">
        <f t="shared" si="3"/>
        <v>0.010401721664275465</v>
      </c>
      <c r="I12" s="130">
        <v>649</v>
      </c>
      <c r="J12" s="133">
        <f t="shared" si="4"/>
        <v>0.011730258282574511</v>
      </c>
      <c r="K12" s="130">
        <f t="shared" si="5"/>
        <v>620</v>
      </c>
      <c r="L12" s="133">
        <f t="shared" si="6"/>
        <v>0.011800757532499666</v>
      </c>
      <c r="M12" s="130">
        <f t="shared" si="7"/>
        <v>2094</v>
      </c>
      <c r="N12" s="133">
        <f t="shared" si="8"/>
        <v>0.0245751572622289</v>
      </c>
      <c r="O12" s="131">
        <f t="shared" si="9"/>
        <v>2743</v>
      </c>
      <c r="P12" s="130">
        <f t="shared" si="10"/>
        <v>0</v>
      </c>
      <c r="Q12" s="107">
        <v>2</v>
      </c>
    </row>
    <row r="13" spans="1:17" ht="12">
      <c r="A13" s="107" t="s">
        <v>83</v>
      </c>
      <c r="B13" s="131">
        <v>11400</v>
      </c>
      <c r="C13" s="133">
        <f t="shared" si="0"/>
        <v>0.05373506606177816</v>
      </c>
      <c r="D13" s="131">
        <v>1029</v>
      </c>
      <c r="E13" s="133">
        <f t="shared" si="1"/>
        <v>0.05950728660652325</v>
      </c>
      <c r="F13" s="130">
        <f t="shared" si="2"/>
        <v>1029</v>
      </c>
      <c r="G13" s="107">
        <f>64+23</f>
        <v>87</v>
      </c>
      <c r="H13" s="133">
        <f t="shared" si="3"/>
        <v>0.031205164992826398</v>
      </c>
      <c r="I13" s="130">
        <v>2973</v>
      </c>
      <c r="J13" s="133">
        <f t="shared" si="4"/>
        <v>0.05373506606177816</v>
      </c>
      <c r="K13" s="130">
        <f t="shared" si="5"/>
        <v>2886</v>
      </c>
      <c r="L13" s="133">
        <f t="shared" si="6"/>
        <v>0.05493062296579684</v>
      </c>
      <c r="M13" s="130">
        <f t="shared" si="7"/>
        <v>8427</v>
      </c>
      <c r="N13" s="133">
        <f t="shared" si="8"/>
        <v>0.09889916439770914</v>
      </c>
      <c r="O13" s="131">
        <f t="shared" si="9"/>
        <v>11400</v>
      </c>
      <c r="P13" s="130">
        <f t="shared" si="10"/>
        <v>0</v>
      </c>
      <c r="Q13" s="107">
        <v>1</v>
      </c>
    </row>
    <row r="14" spans="1:17" ht="12">
      <c r="A14" s="107" t="s">
        <v>87</v>
      </c>
      <c r="B14" s="131">
        <v>4487</v>
      </c>
      <c r="C14" s="133">
        <f t="shared" si="0"/>
        <v>0.03336526469897157</v>
      </c>
      <c r="D14" s="131">
        <v>490</v>
      </c>
      <c r="E14" s="133">
        <f t="shared" si="1"/>
        <v>0.02833680314596345</v>
      </c>
      <c r="F14" s="130">
        <f t="shared" si="2"/>
        <v>490</v>
      </c>
      <c r="G14" s="107">
        <v>27</v>
      </c>
      <c r="H14" s="133">
        <f t="shared" si="3"/>
        <v>0.009684361549497847</v>
      </c>
      <c r="I14" s="130">
        <v>1846</v>
      </c>
      <c r="J14" s="133">
        <f t="shared" si="4"/>
        <v>0.03336526469897157</v>
      </c>
      <c r="K14" s="130">
        <f t="shared" si="5"/>
        <v>1819</v>
      </c>
      <c r="L14" s="133">
        <f t="shared" si="6"/>
        <v>0.03462189992196273</v>
      </c>
      <c r="M14" s="130">
        <f t="shared" si="7"/>
        <v>2641</v>
      </c>
      <c r="N14" s="133">
        <f t="shared" si="8"/>
        <v>0.0309947422777204</v>
      </c>
      <c r="O14" s="131">
        <f t="shared" si="9"/>
        <v>4487</v>
      </c>
      <c r="P14" s="130">
        <f t="shared" si="10"/>
        <v>0</v>
      </c>
      <c r="Q14" s="107">
        <v>1</v>
      </c>
    </row>
    <row r="15" spans="1:17" ht="12">
      <c r="A15" s="107" t="s">
        <v>91</v>
      </c>
      <c r="B15" s="131">
        <v>3032</v>
      </c>
      <c r="C15" s="133">
        <f t="shared" si="0"/>
        <v>0.019917942415095705</v>
      </c>
      <c r="D15" s="131">
        <v>336</v>
      </c>
      <c r="E15" s="133">
        <f t="shared" si="1"/>
        <v>0.01943095072866065</v>
      </c>
      <c r="F15" s="130">
        <f t="shared" si="2"/>
        <v>336</v>
      </c>
      <c r="G15" s="107">
        <v>26</v>
      </c>
      <c r="H15" s="133">
        <f t="shared" si="3"/>
        <v>0.009325681492109038</v>
      </c>
      <c r="I15" s="130">
        <v>1102</v>
      </c>
      <c r="J15" s="133">
        <f t="shared" si="4"/>
        <v>0.019917942415095705</v>
      </c>
      <c r="K15" s="130">
        <f t="shared" si="5"/>
        <v>1076</v>
      </c>
      <c r="L15" s="133">
        <f t="shared" si="6"/>
        <v>0.02048002436285426</v>
      </c>
      <c r="M15" s="130">
        <f t="shared" si="7"/>
        <v>1930</v>
      </c>
      <c r="N15" s="133">
        <f t="shared" si="8"/>
        <v>0.022650455356304573</v>
      </c>
      <c r="O15" s="131">
        <f t="shared" si="9"/>
        <v>3032</v>
      </c>
      <c r="P15" s="130">
        <f t="shared" si="10"/>
        <v>0</v>
      </c>
      <c r="Q15" s="107">
        <v>2</v>
      </c>
    </row>
    <row r="16" spans="1:17" ht="12">
      <c r="A16" s="107" t="s">
        <v>84</v>
      </c>
      <c r="B16" s="131">
        <v>8045</v>
      </c>
      <c r="C16" s="133">
        <f t="shared" si="0"/>
        <v>0.050698573933161024</v>
      </c>
      <c r="D16" s="131">
        <v>767</v>
      </c>
      <c r="E16" s="133">
        <f t="shared" si="1"/>
        <v>0.044355771455008096</v>
      </c>
      <c r="F16" s="130">
        <f t="shared" si="2"/>
        <v>767</v>
      </c>
      <c r="G16" s="107">
        <f>47+21</f>
        <v>68</v>
      </c>
      <c r="H16" s="133">
        <f t="shared" si="3"/>
        <v>0.024390243902439025</v>
      </c>
      <c r="I16" s="130">
        <v>2805</v>
      </c>
      <c r="J16" s="133">
        <f t="shared" si="4"/>
        <v>0.050698573933161024</v>
      </c>
      <c r="K16" s="130">
        <f t="shared" si="5"/>
        <v>2737</v>
      </c>
      <c r="L16" s="133">
        <f t="shared" si="6"/>
        <v>0.05209463446201869</v>
      </c>
      <c r="M16" s="130">
        <f t="shared" si="7"/>
        <v>5240</v>
      </c>
      <c r="N16" s="133">
        <f t="shared" si="8"/>
        <v>0.06149657309172848</v>
      </c>
      <c r="O16" s="131">
        <f t="shared" si="9"/>
        <v>8045</v>
      </c>
      <c r="P16" s="130">
        <f t="shared" si="10"/>
        <v>0</v>
      </c>
      <c r="Q16" s="107">
        <v>2</v>
      </c>
    </row>
    <row r="17" spans="1:17" ht="12">
      <c r="A17" s="107" t="s">
        <v>107</v>
      </c>
      <c r="B17" s="131">
        <v>11968</v>
      </c>
      <c r="C17" s="133">
        <f t="shared" si="0"/>
        <v>0.058976629855224394</v>
      </c>
      <c r="D17" s="131">
        <v>1032</v>
      </c>
      <c r="E17" s="133">
        <f t="shared" si="1"/>
        <v>0.05968077723802915</v>
      </c>
      <c r="F17" s="130">
        <f t="shared" si="2"/>
        <v>1032</v>
      </c>
      <c r="G17" s="107">
        <f>85+23</f>
        <v>108</v>
      </c>
      <c r="H17" s="133">
        <f t="shared" si="3"/>
        <v>0.03873744619799139</v>
      </c>
      <c r="I17" s="130">
        <v>3263</v>
      </c>
      <c r="J17" s="133">
        <f t="shared" si="4"/>
        <v>0.058976629855224394</v>
      </c>
      <c r="K17" s="130">
        <f t="shared" si="5"/>
        <v>3155</v>
      </c>
      <c r="L17" s="133">
        <f t="shared" si="6"/>
        <v>0.0600506290565104</v>
      </c>
      <c r="M17" s="130">
        <f t="shared" si="7"/>
        <v>8705</v>
      </c>
      <c r="N17" s="133">
        <f t="shared" si="8"/>
        <v>0.1021617688479955</v>
      </c>
      <c r="O17" s="131">
        <f t="shared" si="9"/>
        <v>11968</v>
      </c>
      <c r="P17" s="130">
        <f t="shared" si="10"/>
        <v>0</v>
      </c>
      <c r="Q17" s="107">
        <v>1</v>
      </c>
    </row>
    <row r="18" spans="1:17" ht="12">
      <c r="A18" s="107" t="s">
        <v>88</v>
      </c>
      <c r="B18" s="131">
        <v>2736</v>
      </c>
      <c r="C18" s="133">
        <f t="shared" si="0"/>
        <v>0.036636723480398356</v>
      </c>
      <c r="D18" s="131">
        <v>645</v>
      </c>
      <c r="E18" s="133">
        <f t="shared" si="1"/>
        <v>0.03730048577376822</v>
      </c>
      <c r="F18" s="130">
        <f t="shared" si="2"/>
        <v>645</v>
      </c>
      <c r="G18" s="107">
        <f>37+210</f>
        <v>247</v>
      </c>
      <c r="H18" s="133">
        <f t="shared" si="3"/>
        <v>0.08859397417503587</v>
      </c>
      <c r="I18" s="130">
        <v>2027</v>
      </c>
      <c r="J18" s="133">
        <f t="shared" si="4"/>
        <v>0.036636723480398356</v>
      </c>
      <c r="K18" s="130">
        <f t="shared" si="5"/>
        <v>1780</v>
      </c>
      <c r="L18" s="133">
        <f t="shared" si="6"/>
        <v>0.03387959420620872</v>
      </c>
      <c r="M18" s="130">
        <f t="shared" si="7"/>
        <v>709</v>
      </c>
      <c r="N18" s="133">
        <f t="shared" si="8"/>
        <v>0.008320814946953338</v>
      </c>
      <c r="O18" s="131">
        <f t="shared" si="9"/>
        <v>2736</v>
      </c>
      <c r="P18" s="130">
        <f t="shared" si="10"/>
        <v>0</v>
      </c>
      <c r="Q18" s="107">
        <v>1</v>
      </c>
    </row>
    <row r="19" spans="1:17" ht="12">
      <c r="A19" s="107" t="s">
        <v>86</v>
      </c>
      <c r="B19" s="131">
        <v>7679</v>
      </c>
      <c r="C19" s="133">
        <f t="shared" si="0"/>
        <v>0.07251432392864243</v>
      </c>
      <c r="D19" s="131">
        <v>1363</v>
      </c>
      <c r="E19" s="133">
        <f t="shared" si="1"/>
        <v>0.07882257691417997</v>
      </c>
      <c r="F19" s="130">
        <f t="shared" si="2"/>
        <v>1363</v>
      </c>
      <c r="G19" s="107">
        <f>111+405</f>
        <v>516</v>
      </c>
      <c r="H19" s="133">
        <f t="shared" si="3"/>
        <v>0.18507890961262555</v>
      </c>
      <c r="I19" s="130">
        <v>4012</v>
      </c>
      <c r="J19" s="133">
        <f t="shared" si="4"/>
        <v>0.07251432392864243</v>
      </c>
      <c r="K19" s="130">
        <f t="shared" si="5"/>
        <v>3496</v>
      </c>
      <c r="L19" s="133">
        <f t="shared" si="6"/>
        <v>0.06654104569938522</v>
      </c>
      <c r="M19" s="130">
        <f t="shared" si="7"/>
        <v>3667</v>
      </c>
      <c r="N19" s="133">
        <f t="shared" si="8"/>
        <v>0.04303586517697869</v>
      </c>
      <c r="O19" s="131">
        <f t="shared" si="9"/>
        <v>7679</v>
      </c>
      <c r="P19" s="130">
        <f t="shared" si="10"/>
        <v>0</v>
      </c>
      <c r="Q19" s="107">
        <v>1</v>
      </c>
    </row>
    <row r="20" spans="1:17" ht="12">
      <c r="A20" s="107" t="s">
        <v>98</v>
      </c>
      <c r="B20" s="131">
        <v>1130</v>
      </c>
      <c r="C20" s="133">
        <f t="shared" si="0"/>
        <v>0.008241907206246499</v>
      </c>
      <c r="D20" s="131">
        <v>101</v>
      </c>
      <c r="E20" s="133">
        <f t="shared" si="1"/>
        <v>0.005840851260698589</v>
      </c>
      <c r="F20" s="130">
        <f t="shared" si="2"/>
        <v>101</v>
      </c>
      <c r="G20" s="107">
        <v>11</v>
      </c>
      <c r="H20" s="133">
        <f t="shared" si="3"/>
        <v>0.003945480631276901</v>
      </c>
      <c r="I20" s="130">
        <v>456</v>
      </c>
      <c r="J20" s="133">
        <f t="shared" si="4"/>
        <v>0.008241907206246499</v>
      </c>
      <c r="K20" s="130">
        <f t="shared" si="5"/>
        <v>445</v>
      </c>
      <c r="L20" s="133">
        <f t="shared" si="6"/>
        <v>0.00846989855155218</v>
      </c>
      <c r="M20" s="130">
        <f t="shared" si="7"/>
        <v>674</v>
      </c>
      <c r="N20" s="133">
        <f t="shared" si="8"/>
        <v>0.007910055393859732</v>
      </c>
      <c r="O20" s="131">
        <f t="shared" si="9"/>
        <v>1130</v>
      </c>
      <c r="P20" s="130">
        <f t="shared" si="10"/>
        <v>0</v>
      </c>
      <c r="Q20" s="107">
        <v>3</v>
      </c>
    </row>
    <row r="21" spans="1:17" ht="12">
      <c r="A21" s="150" t="s">
        <v>74</v>
      </c>
      <c r="B21" s="151">
        <v>7340</v>
      </c>
      <c r="C21" s="133">
        <f t="shared" si="0"/>
        <v>0.047427115151734235</v>
      </c>
      <c r="D21" s="151">
        <v>1101</v>
      </c>
      <c r="E21" s="133">
        <f t="shared" si="1"/>
        <v>0.06367106176266482</v>
      </c>
      <c r="F21" s="152">
        <f t="shared" si="2"/>
        <v>1101</v>
      </c>
      <c r="G21" s="150">
        <f>53+14</f>
        <v>67</v>
      </c>
      <c r="H21" s="133">
        <f t="shared" si="3"/>
        <v>0.024031563845050216</v>
      </c>
      <c r="I21" s="153">
        <v>2624</v>
      </c>
      <c r="J21" s="133">
        <f t="shared" si="4"/>
        <v>0.047427115151734235</v>
      </c>
      <c r="K21" s="130">
        <f t="shared" si="5"/>
        <v>2557</v>
      </c>
      <c r="L21" s="133">
        <f t="shared" si="6"/>
        <v>0.048668608081615564</v>
      </c>
      <c r="M21" s="130">
        <f t="shared" si="7"/>
        <v>4716</v>
      </c>
      <c r="N21" s="133">
        <f t="shared" si="8"/>
        <v>0.05534691578255563</v>
      </c>
      <c r="O21" s="131">
        <f t="shared" si="9"/>
        <v>7340</v>
      </c>
      <c r="P21" s="130">
        <f t="shared" si="10"/>
        <v>0</v>
      </c>
      <c r="Q21" s="107">
        <v>1</v>
      </c>
    </row>
    <row r="22" spans="1:17" ht="12">
      <c r="A22" s="107" t="s">
        <v>108</v>
      </c>
      <c r="B22" s="131">
        <v>4578</v>
      </c>
      <c r="C22" s="133">
        <f t="shared" si="0"/>
        <v>0.028376741916243425</v>
      </c>
      <c r="D22" s="131">
        <v>522</v>
      </c>
      <c r="E22" s="133">
        <f t="shared" si="1"/>
        <v>0.03018736988202637</v>
      </c>
      <c r="F22" s="130">
        <f t="shared" si="2"/>
        <v>522</v>
      </c>
      <c r="G22" s="107">
        <v>21</v>
      </c>
      <c r="H22" s="133">
        <f t="shared" si="3"/>
        <v>0.007532281205164993</v>
      </c>
      <c r="I22" s="130">
        <v>1570</v>
      </c>
      <c r="J22" s="133">
        <f t="shared" si="4"/>
        <v>0.028376741916243425</v>
      </c>
      <c r="K22" s="130">
        <f t="shared" si="5"/>
        <v>1549</v>
      </c>
      <c r="L22" s="133">
        <f t="shared" si="6"/>
        <v>0.02948286035135804</v>
      </c>
      <c r="M22" s="130">
        <f t="shared" si="7"/>
        <v>3008</v>
      </c>
      <c r="N22" s="133">
        <f t="shared" si="8"/>
        <v>0.03530184959158764</v>
      </c>
      <c r="O22" s="131">
        <f t="shared" si="9"/>
        <v>4578</v>
      </c>
      <c r="P22" s="130">
        <f t="shared" si="10"/>
        <v>0</v>
      </c>
      <c r="Q22" s="107">
        <v>1</v>
      </c>
    </row>
    <row r="23" spans="1:17" ht="12">
      <c r="A23" s="107" t="s">
        <v>89</v>
      </c>
      <c r="B23" s="131">
        <v>2801</v>
      </c>
      <c r="C23" s="133">
        <f t="shared" si="0"/>
        <v>0.01839969635078714</v>
      </c>
      <c r="D23" s="131">
        <v>298</v>
      </c>
      <c r="E23" s="133">
        <f t="shared" si="1"/>
        <v>0.017233402729585935</v>
      </c>
      <c r="F23" s="130">
        <f t="shared" si="2"/>
        <v>298</v>
      </c>
      <c r="G23" s="107">
        <v>26</v>
      </c>
      <c r="H23" s="133">
        <f t="shared" si="3"/>
        <v>0.009325681492109038</v>
      </c>
      <c r="I23" s="130">
        <v>1018</v>
      </c>
      <c r="J23" s="133">
        <f t="shared" si="4"/>
        <v>0.01839969635078714</v>
      </c>
      <c r="K23" s="130">
        <f t="shared" si="5"/>
        <v>992</v>
      </c>
      <c r="L23" s="133">
        <f t="shared" si="6"/>
        <v>0.01888121205199947</v>
      </c>
      <c r="M23" s="130">
        <f t="shared" si="7"/>
        <v>1783</v>
      </c>
      <c r="N23" s="133">
        <f t="shared" si="8"/>
        <v>0.020925265233311428</v>
      </c>
      <c r="O23" s="131">
        <f t="shared" si="9"/>
        <v>2801</v>
      </c>
      <c r="P23" s="130">
        <f t="shared" si="10"/>
        <v>0</v>
      </c>
      <c r="Q23" s="107">
        <v>1</v>
      </c>
    </row>
    <row r="24" spans="1:17" ht="12">
      <c r="A24" s="107" t="s">
        <v>93</v>
      </c>
      <c r="B24" s="131">
        <v>1714</v>
      </c>
      <c r="C24" s="133">
        <f t="shared" si="0"/>
        <v>0.024906465197823847</v>
      </c>
      <c r="D24" s="131">
        <v>351</v>
      </c>
      <c r="E24" s="133">
        <f t="shared" si="1"/>
        <v>0.020298403886190145</v>
      </c>
      <c r="F24" s="130">
        <f t="shared" si="2"/>
        <v>351</v>
      </c>
      <c r="G24" s="107">
        <f>67+91</f>
        <v>158</v>
      </c>
      <c r="H24" s="133">
        <f t="shared" si="3"/>
        <v>0.05667144906743185</v>
      </c>
      <c r="I24" s="130">
        <v>1378</v>
      </c>
      <c r="J24" s="133">
        <f t="shared" si="4"/>
        <v>0.024906465197823847</v>
      </c>
      <c r="K24" s="130">
        <f t="shared" si="5"/>
        <v>1220</v>
      </c>
      <c r="L24" s="133">
        <f t="shared" si="6"/>
        <v>0.023220845467176763</v>
      </c>
      <c r="M24" s="130">
        <f t="shared" si="7"/>
        <v>336</v>
      </c>
      <c r="N24" s="133">
        <f t="shared" si="8"/>
        <v>0.00394329170969862</v>
      </c>
      <c r="O24" s="131">
        <f t="shared" si="9"/>
        <v>1714</v>
      </c>
      <c r="P24" s="130">
        <f t="shared" si="10"/>
        <v>0</v>
      </c>
      <c r="Q24" s="107">
        <v>1</v>
      </c>
    </row>
    <row r="25" spans="1:17" ht="12">
      <c r="A25" s="107" t="s">
        <v>110</v>
      </c>
      <c r="B25" s="131">
        <v>734</v>
      </c>
      <c r="C25" s="133">
        <f t="shared" si="0"/>
        <v>0.009091402027942957</v>
      </c>
      <c r="D25" s="131">
        <v>139</v>
      </c>
      <c r="E25" s="133">
        <f t="shared" si="1"/>
        <v>0.008038399259773305</v>
      </c>
      <c r="F25" s="130">
        <f t="shared" si="2"/>
        <v>139</v>
      </c>
      <c r="G25" s="107">
        <f>13+51</f>
        <v>64</v>
      </c>
      <c r="H25" s="133">
        <f t="shared" si="3"/>
        <v>0.02295552367288379</v>
      </c>
      <c r="I25" s="130">
        <v>503</v>
      </c>
      <c r="J25" s="133">
        <f t="shared" si="4"/>
        <v>0.009091402027942957</v>
      </c>
      <c r="K25" s="130">
        <f t="shared" si="5"/>
        <v>439</v>
      </c>
      <c r="L25" s="133">
        <f t="shared" si="6"/>
        <v>0.00835569767220541</v>
      </c>
      <c r="M25" s="130">
        <f t="shared" si="7"/>
        <v>231</v>
      </c>
      <c r="N25" s="133">
        <f t="shared" si="8"/>
        <v>0.002711013050417801</v>
      </c>
      <c r="O25" s="131">
        <f t="shared" si="9"/>
        <v>734</v>
      </c>
      <c r="P25" s="130">
        <f t="shared" si="10"/>
        <v>0</v>
      </c>
      <c r="Q25" s="107">
        <v>1</v>
      </c>
    </row>
    <row r="26" spans="1:17" ht="12">
      <c r="A26" s="107" t="s">
        <v>94</v>
      </c>
      <c r="B26" s="131">
        <v>1724</v>
      </c>
      <c r="C26" s="133">
        <f t="shared" si="0"/>
        <v>0.013609991505051783</v>
      </c>
      <c r="D26" s="131">
        <v>177</v>
      </c>
      <c r="E26" s="133">
        <f t="shared" si="1"/>
        <v>0.010235947258848022</v>
      </c>
      <c r="F26" s="130">
        <f t="shared" si="2"/>
        <v>177</v>
      </c>
      <c r="G26" s="107">
        <v>24</v>
      </c>
      <c r="H26" s="133">
        <f t="shared" si="3"/>
        <v>0.00860832137733142</v>
      </c>
      <c r="I26" s="130">
        <v>753</v>
      </c>
      <c r="J26" s="133">
        <f t="shared" si="4"/>
        <v>0.013609991505051783</v>
      </c>
      <c r="K26" s="130">
        <f t="shared" si="5"/>
        <v>729</v>
      </c>
      <c r="L26" s="133">
        <f t="shared" si="6"/>
        <v>0.013875406840632673</v>
      </c>
      <c r="M26" s="130">
        <f t="shared" si="7"/>
        <v>971</v>
      </c>
      <c r="N26" s="133">
        <f t="shared" si="8"/>
        <v>0.011395643601539761</v>
      </c>
      <c r="O26" s="131">
        <f t="shared" si="9"/>
        <v>1724</v>
      </c>
      <c r="P26" s="130">
        <f t="shared" si="10"/>
        <v>0</v>
      </c>
      <c r="Q26" s="107">
        <v>2</v>
      </c>
    </row>
    <row r="27" spans="1:17" ht="12">
      <c r="A27" s="107" t="s">
        <v>97</v>
      </c>
      <c r="B27" s="131">
        <v>1658</v>
      </c>
      <c r="C27" s="133">
        <f t="shared" si="0"/>
        <v>0.007681602111085004</v>
      </c>
      <c r="D27" s="131">
        <v>81</v>
      </c>
      <c r="E27" s="133">
        <f t="shared" si="1"/>
        <v>0.004684247050659264</v>
      </c>
      <c r="F27" s="130">
        <f t="shared" si="2"/>
        <v>81</v>
      </c>
      <c r="G27" s="107">
        <v>7</v>
      </c>
      <c r="H27" s="133">
        <f t="shared" si="3"/>
        <v>0.002510760401721664</v>
      </c>
      <c r="I27" s="130">
        <v>425</v>
      </c>
      <c r="J27" s="133">
        <f t="shared" si="4"/>
        <v>0.007681602111085004</v>
      </c>
      <c r="K27" s="130">
        <f t="shared" si="5"/>
        <v>418</v>
      </c>
      <c r="L27" s="133">
        <f t="shared" si="6"/>
        <v>0.00795599459449171</v>
      </c>
      <c r="M27" s="130">
        <f t="shared" si="7"/>
        <v>1233</v>
      </c>
      <c r="N27" s="133">
        <f t="shared" si="8"/>
        <v>0.014470472256126186</v>
      </c>
      <c r="O27" s="131">
        <f t="shared" si="9"/>
        <v>1658</v>
      </c>
      <c r="P27" s="130">
        <f t="shared" si="10"/>
        <v>0</v>
      </c>
      <c r="Q27" s="107">
        <v>3</v>
      </c>
    </row>
    <row r="28" spans="1:17" ht="12">
      <c r="A28" s="107" t="s">
        <v>90</v>
      </c>
      <c r="B28" s="131">
        <v>2597</v>
      </c>
      <c r="C28" s="133">
        <f t="shared" si="0"/>
        <v>0.01816472969797748</v>
      </c>
      <c r="D28" s="131">
        <v>292</v>
      </c>
      <c r="E28" s="133">
        <f t="shared" si="1"/>
        <v>0.01688642146657414</v>
      </c>
      <c r="F28" s="130">
        <f t="shared" si="2"/>
        <v>292</v>
      </c>
      <c r="G28" s="107">
        <v>22</v>
      </c>
      <c r="H28" s="133">
        <f t="shared" si="3"/>
        <v>0.007890961262553802</v>
      </c>
      <c r="I28" s="130">
        <v>1005</v>
      </c>
      <c r="J28" s="133">
        <f t="shared" si="4"/>
        <v>0.01816472969797748</v>
      </c>
      <c r="K28" s="130">
        <f t="shared" si="5"/>
        <v>983</v>
      </c>
      <c r="L28" s="133">
        <f t="shared" si="6"/>
        <v>0.01870991073297931</v>
      </c>
      <c r="M28" s="130">
        <f t="shared" si="7"/>
        <v>1592</v>
      </c>
      <c r="N28" s="133">
        <f t="shared" si="8"/>
        <v>0.01868369167214346</v>
      </c>
      <c r="O28" s="131">
        <f t="shared" si="9"/>
        <v>2597</v>
      </c>
      <c r="P28" s="130">
        <f t="shared" si="10"/>
        <v>0</v>
      </c>
      <c r="Q28" s="107">
        <v>1</v>
      </c>
    </row>
    <row r="29" spans="1:17" ht="12">
      <c r="A29" s="107" t="s">
        <v>85</v>
      </c>
      <c r="B29" s="131">
        <v>5272</v>
      </c>
      <c r="C29" s="133">
        <f t="shared" si="0"/>
        <v>0.032967628824985995</v>
      </c>
      <c r="D29" s="131">
        <v>606</v>
      </c>
      <c r="E29" s="133">
        <f t="shared" si="1"/>
        <v>0.03504510756419153</v>
      </c>
      <c r="F29" s="130">
        <f t="shared" si="2"/>
        <v>606</v>
      </c>
      <c r="G29" s="107">
        <v>73</v>
      </c>
      <c r="H29" s="133">
        <f t="shared" si="3"/>
        <v>0.02618364418938307</v>
      </c>
      <c r="I29" s="130">
        <v>1824</v>
      </c>
      <c r="J29" s="133">
        <f t="shared" si="4"/>
        <v>0.032967628824985995</v>
      </c>
      <c r="K29" s="130">
        <f t="shared" si="5"/>
        <v>1751</v>
      </c>
      <c r="L29" s="133">
        <f t="shared" si="6"/>
        <v>0.033327623289366</v>
      </c>
      <c r="M29" s="130">
        <f t="shared" si="7"/>
        <v>3448</v>
      </c>
      <c r="N29" s="133">
        <f t="shared" si="8"/>
        <v>0.04046568397333584</v>
      </c>
      <c r="O29" s="131">
        <f t="shared" si="9"/>
        <v>5272</v>
      </c>
      <c r="P29" s="130">
        <f t="shared" si="10"/>
        <v>0</v>
      </c>
      <c r="Q29" s="107">
        <v>1</v>
      </c>
    </row>
    <row r="30" spans="1:17" ht="12">
      <c r="A30" s="107" t="s">
        <v>101</v>
      </c>
      <c r="B30" s="131">
        <v>741</v>
      </c>
      <c r="C30" s="133">
        <f t="shared" si="0"/>
        <v>0.010175863502449076</v>
      </c>
      <c r="D30" s="131">
        <v>147</v>
      </c>
      <c r="E30" s="133">
        <f t="shared" si="1"/>
        <v>0.008501040943789036</v>
      </c>
      <c r="F30" s="130">
        <f t="shared" si="2"/>
        <v>147</v>
      </c>
      <c r="G30" s="107">
        <f>13+93</f>
        <v>106</v>
      </c>
      <c r="H30" s="133">
        <f t="shared" si="3"/>
        <v>0.03802008608321377</v>
      </c>
      <c r="I30" s="130">
        <v>563</v>
      </c>
      <c r="J30" s="133">
        <f t="shared" si="4"/>
        <v>0.010175863502449076</v>
      </c>
      <c r="K30" s="130">
        <f t="shared" si="5"/>
        <v>457</v>
      </c>
      <c r="L30" s="133">
        <f t="shared" si="6"/>
        <v>0.008698300310245722</v>
      </c>
      <c r="M30" s="130">
        <f t="shared" si="7"/>
        <v>178</v>
      </c>
      <c r="N30" s="133">
        <f t="shared" si="8"/>
        <v>0.002089005727161769</v>
      </c>
      <c r="O30" s="131">
        <f t="shared" si="9"/>
        <v>741</v>
      </c>
      <c r="P30" s="130">
        <f t="shared" si="10"/>
        <v>0</v>
      </c>
      <c r="Q30" s="107">
        <v>1</v>
      </c>
    </row>
    <row r="31" spans="1:17" ht="12" customHeight="1" thickBot="1">
      <c r="A31" s="135" t="s">
        <v>95</v>
      </c>
      <c r="B31" s="136">
        <v>1613</v>
      </c>
      <c r="C31" s="169">
        <f t="shared" si="0"/>
        <v>0.022285683301100728</v>
      </c>
      <c r="D31" s="136">
        <v>234</v>
      </c>
      <c r="E31" s="169">
        <f t="shared" si="1"/>
        <v>0.013532269257460098</v>
      </c>
      <c r="F31" s="136">
        <f t="shared" si="2"/>
        <v>234</v>
      </c>
      <c r="G31" s="135">
        <f>122+66</f>
        <v>188</v>
      </c>
      <c r="H31" s="169">
        <f t="shared" si="3"/>
        <v>0.06743185078909612</v>
      </c>
      <c r="I31" s="136">
        <v>1233</v>
      </c>
      <c r="J31" s="169">
        <f t="shared" si="4"/>
        <v>0.022285683301100728</v>
      </c>
      <c r="K31" s="136">
        <f t="shared" si="5"/>
        <v>1045</v>
      </c>
      <c r="L31" s="169">
        <f t="shared" si="6"/>
        <v>0.019889986486229277</v>
      </c>
      <c r="M31" s="136">
        <f t="shared" si="7"/>
        <v>380</v>
      </c>
      <c r="N31" s="169">
        <f t="shared" si="8"/>
        <v>0.004459675147873439</v>
      </c>
      <c r="O31" s="136">
        <f t="shared" si="9"/>
        <v>1613</v>
      </c>
      <c r="P31" s="136">
        <f t="shared" si="10"/>
        <v>0</v>
      </c>
      <c r="Q31" s="135">
        <v>2</v>
      </c>
    </row>
    <row r="32" spans="1:25" ht="12">
      <c r="A32" s="92" t="s">
        <v>168</v>
      </c>
      <c r="B32" s="171">
        <f>SUM(B5:B31)</f>
        <v>140535</v>
      </c>
      <c r="C32" s="138">
        <f>SUM(C5:C31)</f>
        <v>1.0000000000000002</v>
      </c>
      <c r="D32" s="137">
        <f>SUM(D5:D31)</f>
        <v>17292</v>
      </c>
      <c r="E32" s="138">
        <f>SUM(E5:E31)</f>
        <v>1.0000000000000002</v>
      </c>
      <c r="F32" s="137">
        <f aca="true" t="shared" si="11" ref="F32:P32">SUM(F5:F31)</f>
        <v>17292</v>
      </c>
      <c r="G32" s="137">
        <f t="shared" si="11"/>
        <v>2788</v>
      </c>
      <c r="H32" s="138">
        <f>SUM(H5:H31)</f>
        <v>0.9999999999999999</v>
      </c>
      <c r="I32" s="137">
        <f t="shared" si="11"/>
        <v>55327</v>
      </c>
      <c r="J32" s="154">
        <f>SUM(J5:J31)</f>
        <v>1.0000000000000002</v>
      </c>
      <c r="K32" s="137">
        <f t="shared" si="11"/>
        <v>52539</v>
      </c>
      <c r="L32" s="154">
        <f>SUM(L5:L31)</f>
        <v>0.9999999999999999</v>
      </c>
      <c r="M32" s="137">
        <f t="shared" si="11"/>
        <v>85208</v>
      </c>
      <c r="N32" s="154">
        <f>SUM(N5:N31)</f>
        <v>1</v>
      </c>
      <c r="O32" s="137">
        <f t="shared" si="11"/>
        <v>140535</v>
      </c>
      <c r="P32" s="137">
        <f t="shared" si="11"/>
        <v>0</v>
      </c>
      <c r="Q32" s="134" t="s">
        <v>193</v>
      </c>
      <c r="Y32" s="141"/>
    </row>
    <row r="33" spans="1:17" ht="1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44"/>
      <c r="P33" s="127"/>
      <c r="Q33" s="127"/>
    </row>
    <row r="34" spans="1:17" ht="12">
      <c r="A34" s="120" t="s">
        <v>172</v>
      </c>
      <c r="B34" s="107" t="s">
        <v>25</v>
      </c>
      <c r="C34" s="107" t="s">
        <v>40</v>
      </c>
      <c r="D34" s="107" t="s">
        <v>173</v>
      </c>
      <c r="E34" s="107" t="s">
        <v>10</v>
      </c>
      <c r="F34" s="107" t="s">
        <v>171</v>
      </c>
      <c r="G34" s="107" t="s">
        <v>32</v>
      </c>
      <c r="H34" s="107" t="s">
        <v>10</v>
      </c>
      <c r="I34" s="107" t="s">
        <v>67</v>
      </c>
      <c r="J34" s="107" t="s">
        <v>10</v>
      </c>
      <c r="K34" s="107" t="s">
        <v>174</v>
      </c>
      <c r="L34" s="107" t="s">
        <v>10</v>
      </c>
      <c r="M34" s="107" t="s">
        <v>183</v>
      </c>
      <c r="N34" s="107" t="s">
        <v>10</v>
      </c>
      <c r="O34" s="107" t="s">
        <v>184</v>
      </c>
      <c r="P34" s="107" t="s">
        <v>62</v>
      </c>
      <c r="Q34" s="107" t="s">
        <v>180</v>
      </c>
    </row>
    <row r="35" spans="1:17" ht="12">
      <c r="A35" s="142" t="s">
        <v>166</v>
      </c>
      <c r="B35" s="155">
        <f>VLOOKUP($A$35,$A$5:$Q$32,COLUMN(),0)</f>
        <v>47905</v>
      </c>
      <c r="C35" s="132">
        <f aca="true" t="shared" si="12" ref="C35:Q35">VLOOKUP($A$35,$A$5:$Q$32,COLUMN(),0)</f>
        <v>0.33450214181141213</v>
      </c>
      <c r="D35" s="131">
        <f t="shared" si="12"/>
        <v>6151</v>
      </c>
      <c r="E35" s="132">
        <f t="shared" si="12"/>
        <v>0.3557136247975943</v>
      </c>
      <c r="F35" s="131">
        <f t="shared" si="12"/>
        <v>6151</v>
      </c>
      <c r="G35" s="131">
        <f t="shared" si="12"/>
        <v>439</v>
      </c>
      <c r="H35" s="132">
        <f t="shared" si="12"/>
        <v>0.15746054519368724</v>
      </c>
      <c r="I35" s="131">
        <f t="shared" si="12"/>
        <v>18507</v>
      </c>
      <c r="J35" s="132">
        <f t="shared" si="12"/>
        <v>0.33450214181141213</v>
      </c>
      <c r="K35" s="131">
        <f t="shared" si="12"/>
        <v>18068</v>
      </c>
      <c r="L35" s="132">
        <f t="shared" si="12"/>
        <v>0.34389691467290967</v>
      </c>
      <c r="M35" s="131">
        <f t="shared" si="12"/>
        <v>29398</v>
      </c>
      <c r="N35" s="132">
        <f t="shared" si="12"/>
        <v>0.34501455262416675</v>
      </c>
      <c r="O35" s="155">
        <f t="shared" si="12"/>
        <v>47905</v>
      </c>
      <c r="P35" s="131">
        <f t="shared" si="12"/>
        <v>0</v>
      </c>
      <c r="Q35" s="131">
        <f t="shared" si="12"/>
        <v>1</v>
      </c>
    </row>
    <row r="36" spans="1:18" ht="1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2">
      <c r="A37" s="149" t="str">
        <f>C3</f>
        <v>Affluenza </v>
      </c>
      <c r="B37" s="226" t="s">
        <v>61</v>
      </c>
      <c r="C37" s="226"/>
      <c r="D37" s="227" t="s">
        <v>185</v>
      </c>
      <c r="E37" s="228"/>
      <c r="F37" s="127"/>
      <c r="G37" s="192" t="s">
        <v>61</v>
      </c>
      <c r="H37" s="226"/>
      <c r="I37" s="226"/>
      <c r="J37" s="226" t="s">
        <v>174</v>
      </c>
      <c r="K37" s="226"/>
      <c r="L37" s="226"/>
      <c r="M37" s="226" t="s">
        <v>192</v>
      </c>
      <c r="N37" s="226"/>
      <c r="O37" s="226"/>
      <c r="P37" s="129" t="s">
        <v>185</v>
      </c>
      <c r="Q37" s="107" t="s">
        <v>62</v>
      </c>
      <c r="R37" s="127"/>
    </row>
    <row r="38" spans="1:18" ht="12">
      <c r="A38" s="117">
        <f>I32</f>
        <v>55327</v>
      </c>
      <c r="B38" s="225">
        <f>M32</f>
        <v>85208</v>
      </c>
      <c r="C38" s="225"/>
      <c r="D38" s="229">
        <f>A38+B38</f>
        <v>140535</v>
      </c>
      <c r="E38" s="230"/>
      <c r="F38" s="127"/>
      <c r="G38" s="202">
        <f>M32</f>
        <v>85208</v>
      </c>
      <c r="H38" s="225"/>
      <c r="I38" s="225"/>
      <c r="J38" s="225">
        <f>K32</f>
        <v>52539</v>
      </c>
      <c r="K38" s="225"/>
      <c r="L38" s="225"/>
      <c r="M38" s="225">
        <v>2788</v>
      </c>
      <c r="N38" s="225"/>
      <c r="O38" s="225"/>
      <c r="P38" s="170">
        <f>G38+J38+M38</f>
        <v>140535</v>
      </c>
      <c r="Q38" s="139">
        <f>D38-P38</f>
        <v>0</v>
      </c>
      <c r="R38" s="127"/>
    </row>
    <row r="39" spans="1:18" ht="1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</row>
    <row r="40" spans="1:18" ht="1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spans="1:18" ht="1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ht="12">
      <c r="A42" s="127"/>
      <c r="B42" s="127"/>
      <c r="C42" s="156"/>
      <c r="D42" s="127"/>
      <c r="E42" s="156"/>
      <c r="F42" s="127"/>
      <c r="G42" s="127"/>
      <c r="H42" s="156"/>
      <c r="I42" s="127"/>
      <c r="J42" s="156"/>
      <c r="K42" s="156"/>
      <c r="L42" s="127"/>
      <c r="M42" s="127"/>
      <c r="N42" s="156"/>
      <c r="O42" s="127"/>
      <c r="P42" s="127"/>
      <c r="Q42" s="127"/>
      <c r="R42" s="127"/>
    </row>
    <row r="43" spans="1:18" ht="1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</row>
    <row r="44" spans="1:18" ht="1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</row>
    <row r="45" ht="12">
      <c r="K45" s="141"/>
    </row>
  </sheetData>
  <sheetProtection password="CE60" sheet="1" objects="1" scenarios="1"/>
  <mergeCells count="19">
    <mergeCell ref="D4:E4"/>
    <mergeCell ref="O1:P2"/>
    <mergeCell ref="P3:P4"/>
    <mergeCell ref="Q1:Q2"/>
    <mergeCell ref="Q3:Q4"/>
    <mergeCell ref="N1:N2"/>
    <mergeCell ref="A1:M2"/>
    <mergeCell ref="A3:A4"/>
    <mergeCell ref="B3:B4"/>
    <mergeCell ref="B37:C37"/>
    <mergeCell ref="B38:C38"/>
    <mergeCell ref="D37:E37"/>
    <mergeCell ref="D38:E38"/>
    <mergeCell ref="G38:I38"/>
    <mergeCell ref="J38:L38"/>
    <mergeCell ref="M38:O38"/>
    <mergeCell ref="G37:I37"/>
    <mergeCell ref="J37:L37"/>
    <mergeCell ref="M37:O37"/>
  </mergeCells>
  <dataValidations count="1">
    <dataValidation type="list" allowBlank="1" showInputMessage="1" showErrorMessage="1" sqref="A35">
      <formula1>$A$5:$A$32</formula1>
    </dataValidation>
  </dataValidations>
  <printOptions/>
  <pageMargins left="0.75" right="0.75" top="1" bottom="1" header="0.5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M2"/>
    </sheetView>
  </sheetViews>
  <sheetFormatPr defaultColWidth="9.140625" defaultRowHeight="15"/>
  <cols>
    <col min="1" max="1" width="6.00390625" style="42" customWidth="1"/>
    <col min="2" max="2" width="20.57421875" style="42" customWidth="1"/>
    <col min="3" max="3" width="10.57421875" style="42" bestFit="1" customWidth="1"/>
    <col min="4" max="4" width="11.8515625" style="42" customWidth="1"/>
    <col min="5" max="5" width="10.8515625" style="42" bestFit="1" customWidth="1"/>
    <col min="6" max="6" width="5.57421875" style="42" customWidth="1"/>
    <col min="7" max="7" width="21.140625" style="42" customWidth="1"/>
    <col min="8" max="8" width="15.140625" style="42" customWidth="1"/>
    <col min="9" max="9" width="13.00390625" style="42" customWidth="1"/>
    <col min="10" max="10" width="5.57421875" style="42" customWidth="1"/>
    <col min="11" max="11" width="21.140625" style="42" customWidth="1"/>
    <col min="12" max="12" width="9.421875" style="42" bestFit="1" customWidth="1"/>
    <col min="13" max="13" width="10.57421875" style="42" customWidth="1"/>
    <col min="14" max="16384" width="9.140625" style="42" customWidth="1"/>
  </cols>
  <sheetData>
    <row r="1" spans="1:14" ht="12.75">
      <c r="A1" s="245" t="s">
        <v>188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84"/>
    </row>
    <row r="2" spans="1:14" ht="12.7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84"/>
    </row>
    <row r="3" spans="1:13" ht="15">
      <c r="A3" s="178" t="s">
        <v>181</v>
      </c>
      <c r="B3" s="247" t="s">
        <v>187</v>
      </c>
      <c r="C3" s="247"/>
      <c r="D3" s="247"/>
      <c r="E3" s="246"/>
      <c r="G3" s="247" t="s">
        <v>189</v>
      </c>
      <c r="H3" s="247"/>
      <c r="I3" s="247"/>
      <c r="K3" s="248" t="s">
        <v>186</v>
      </c>
      <c r="L3" s="249"/>
      <c r="M3" s="249"/>
    </row>
    <row r="4" spans="1:13" ht="12.75">
      <c r="A4" s="178"/>
      <c r="B4" s="166" t="s">
        <v>75</v>
      </c>
      <c r="C4" s="166" t="s">
        <v>25</v>
      </c>
      <c r="D4" s="166" t="s">
        <v>29</v>
      </c>
      <c r="E4" s="157" t="s">
        <v>10</v>
      </c>
      <c r="G4" s="166" t="s">
        <v>75</v>
      </c>
      <c r="H4" s="166" t="s">
        <v>190</v>
      </c>
      <c r="I4" s="166" t="s">
        <v>191</v>
      </c>
      <c r="K4" s="166" t="s">
        <v>75</v>
      </c>
      <c r="L4" s="166" t="s">
        <v>32</v>
      </c>
      <c r="M4" s="166" t="s">
        <v>10</v>
      </c>
    </row>
    <row r="5" spans="1:13" ht="12.75">
      <c r="A5" s="24">
        <v>1</v>
      </c>
      <c r="B5" s="67" t="s">
        <v>166</v>
      </c>
      <c r="C5" s="158">
        <v>47905</v>
      </c>
      <c r="D5" s="158">
        <v>18507</v>
      </c>
      <c r="E5" s="122">
        <f>D5/$D$32</f>
        <v>0.33450214181141213</v>
      </c>
      <c r="F5" s="250"/>
      <c r="G5" s="159" t="s">
        <v>74</v>
      </c>
      <c r="H5" s="160">
        <v>1101</v>
      </c>
      <c r="I5" s="161">
        <f>H5/$H$32</f>
        <v>0.06367106176266482</v>
      </c>
      <c r="K5" s="67" t="s">
        <v>86</v>
      </c>
      <c r="L5" s="67">
        <f>111+405</f>
        <v>516</v>
      </c>
      <c r="M5" s="162">
        <f>L5/$L$32</f>
        <v>0.18507890961262555</v>
      </c>
    </row>
    <row r="6" spans="1:13" ht="12.75">
      <c r="A6" s="24">
        <f>A5+1</f>
        <v>2</v>
      </c>
      <c r="B6" s="24" t="s">
        <v>86</v>
      </c>
      <c r="C6" s="163">
        <v>7679</v>
      </c>
      <c r="D6" s="158">
        <v>4012</v>
      </c>
      <c r="E6" s="122">
        <f aca="true" t="shared" si="0" ref="E6:E31">D6/$D$32</f>
        <v>0.07251432392864243</v>
      </c>
      <c r="F6" s="250"/>
      <c r="G6" s="24" t="s">
        <v>167</v>
      </c>
      <c r="H6" s="163">
        <v>439</v>
      </c>
      <c r="I6" s="161">
        <f aca="true" t="shared" si="1" ref="I6:I31">H6/$H$32</f>
        <v>0.025387462410363174</v>
      </c>
      <c r="K6" s="24" t="s">
        <v>166</v>
      </c>
      <c r="L6" s="24">
        <f>362+74+3</f>
        <v>439</v>
      </c>
      <c r="M6" s="162">
        <f aca="true" t="shared" si="2" ref="M6:M31">L6/$L$32</f>
        <v>0.15746054519368724</v>
      </c>
    </row>
    <row r="7" spans="1:13" ht="12.75">
      <c r="A7" s="24">
        <f aca="true" t="shared" si="3" ref="A7:A31">A6+1</f>
        <v>3</v>
      </c>
      <c r="B7" s="24" t="s">
        <v>107</v>
      </c>
      <c r="C7" s="163">
        <v>11968</v>
      </c>
      <c r="D7" s="158">
        <v>3263</v>
      </c>
      <c r="E7" s="122">
        <f t="shared" si="0"/>
        <v>0.058976629855224394</v>
      </c>
      <c r="F7" s="250"/>
      <c r="G7" s="24" t="s">
        <v>86</v>
      </c>
      <c r="H7" s="163">
        <v>1363</v>
      </c>
      <c r="I7" s="161">
        <f t="shared" si="1"/>
        <v>0.07882257691417997</v>
      </c>
      <c r="K7" s="24" t="s">
        <v>88</v>
      </c>
      <c r="L7" s="24">
        <f>37+210</f>
        <v>247</v>
      </c>
      <c r="M7" s="162">
        <f t="shared" si="2"/>
        <v>0.08859397417503587</v>
      </c>
    </row>
    <row r="8" spans="1:13" ht="12.75">
      <c r="A8" s="24">
        <f t="shared" si="3"/>
        <v>4</v>
      </c>
      <c r="B8" s="24" t="s">
        <v>83</v>
      </c>
      <c r="C8" s="163">
        <v>11400</v>
      </c>
      <c r="D8" s="158">
        <v>2973</v>
      </c>
      <c r="E8" s="122">
        <f t="shared" si="0"/>
        <v>0.05373506606177816</v>
      </c>
      <c r="F8" s="250"/>
      <c r="G8" s="24" t="s">
        <v>88</v>
      </c>
      <c r="H8" s="163">
        <v>645</v>
      </c>
      <c r="I8" s="161">
        <f t="shared" si="1"/>
        <v>0.03730048577376822</v>
      </c>
      <c r="K8" s="24" t="s">
        <v>95</v>
      </c>
      <c r="L8" s="24">
        <f>122+66</f>
        <v>188</v>
      </c>
      <c r="M8" s="162">
        <f t="shared" si="2"/>
        <v>0.06743185078909612</v>
      </c>
    </row>
    <row r="9" spans="1:13" ht="12.75">
      <c r="A9" s="24">
        <f t="shared" si="3"/>
        <v>5</v>
      </c>
      <c r="B9" s="24" t="s">
        <v>84</v>
      </c>
      <c r="C9" s="163">
        <v>8045</v>
      </c>
      <c r="D9" s="158">
        <v>2805</v>
      </c>
      <c r="E9" s="122">
        <f t="shared" si="0"/>
        <v>0.050698573933161024</v>
      </c>
      <c r="F9" s="250"/>
      <c r="G9" s="24" t="s">
        <v>83</v>
      </c>
      <c r="H9" s="163">
        <v>1029</v>
      </c>
      <c r="I9" s="161">
        <f t="shared" si="1"/>
        <v>0.05950728660652325</v>
      </c>
      <c r="K9" s="24" t="s">
        <v>167</v>
      </c>
      <c r="L9" s="24">
        <f>28+158</f>
        <v>186</v>
      </c>
      <c r="M9" s="162">
        <f t="shared" si="2"/>
        <v>0.0667144906743185</v>
      </c>
    </row>
    <row r="10" spans="1:13" ht="12.75">
      <c r="A10" s="24">
        <f t="shared" si="3"/>
        <v>6</v>
      </c>
      <c r="B10" s="164" t="s">
        <v>74</v>
      </c>
      <c r="C10" s="165">
        <v>7340</v>
      </c>
      <c r="D10" s="160">
        <v>2624</v>
      </c>
      <c r="E10" s="122">
        <f t="shared" si="0"/>
        <v>0.047427115151734235</v>
      </c>
      <c r="F10" s="250"/>
      <c r="G10" s="24" t="s">
        <v>92</v>
      </c>
      <c r="H10" s="163">
        <v>272</v>
      </c>
      <c r="I10" s="161">
        <f t="shared" si="1"/>
        <v>0.015729817256534814</v>
      </c>
      <c r="K10" s="24" t="s">
        <v>93</v>
      </c>
      <c r="L10" s="24">
        <f>67+91</f>
        <v>158</v>
      </c>
      <c r="M10" s="162">
        <f t="shared" si="2"/>
        <v>0.05667144906743185</v>
      </c>
    </row>
    <row r="11" spans="1:13" ht="12.75">
      <c r="A11" s="24">
        <f t="shared" si="3"/>
        <v>7</v>
      </c>
      <c r="B11" s="24" t="s">
        <v>88</v>
      </c>
      <c r="C11" s="163">
        <v>2736</v>
      </c>
      <c r="D11" s="158">
        <v>2027</v>
      </c>
      <c r="E11" s="122">
        <f t="shared" si="0"/>
        <v>0.036636723480398356</v>
      </c>
      <c r="F11" s="250"/>
      <c r="G11" s="24" t="s">
        <v>85</v>
      </c>
      <c r="H11" s="163">
        <v>606</v>
      </c>
      <c r="I11" s="161">
        <f t="shared" si="1"/>
        <v>0.03504510756419153</v>
      </c>
      <c r="K11" s="24" t="s">
        <v>107</v>
      </c>
      <c r="L11" s="24">
        <f>85+23</f>
        <v>108</v>
      </c>
      <c r="M11" s="162">
        <f t="shared" si="2"/>
        <v>0.03873744619799139</v>
      </c>
    </row>
    <row r="12" spans="1:13" ht="12.75">
      <c r="A12" s="24">
        <f t="shared" si="3"/>
        <v>8</v>
      </c>
      <c r="B12" s="24" t="s">
        <v>87</v>
      </c>
      <c r="C12" s="163">
        <v>4487</v>
      </c>
      <c r="D12" s="158">
        <v>1846</v>
      </c>
      <c r="E12" s="122">
        <f t="shared" si="0"/>
        <v>0.03336526469897157</v>
      </c>
      <c r="F12" s="250"/>
      <c r="G12" s="24" t="s">
        <v>166</v>
      </c>
      <c r="H12" s="163">
        <v>6151</v>
      </c>
      <c r="I12" s="161">
        <f t="shared" si="1"/>
        <v>0.3557136247975943</v>
      </c>
      <c r="K12" s="24" t="s">
        <v>101</v>
      </c>
      <c r="L12" s="24">
        <f>13+93</f>
        <v>106</v>
      </c>
      <c r="M12" s="162">
        <f t="shared" si="2"/>
        <v>0.03802008608321377</v>
      </c>
    </row>
    <row r="13" spans="1:13" ht="12.75">
      <c r="A13" s="24">
        <f t="shared" si="3"/>
        <v>9</v>
      </c>
      <c r="B13" s="24" t="s">
        <v>85</v>
      </c>
      <c r="C13" s="163">
        <v>5272</v>
      </c>
      <c r="D13" s="158">
        <v>1824</v>
      </c>
      <c r="E13" s="122">
        <f t="shared" si="0"/>
        <v>0.032967628824985995</v>
      </c>
      <c r="F13" s="250"/>
      <c r="G13" s="24" t="s">
        <v>108</v>
      </c>
      <c r="H13" s="163">
        <v>522</v>
      </c>
      <c r="I13" s="161">
        <f t="shared" si="1"/>
        <v>0.03018736988202637</v>
      </c>
      <c r="K13" s="24" t="s">
        <v>100</v>
      </c>
      <c r="L13" s="24">
        <f>19+82</f>
        <v>101</v>
      </c>
      <c r="M13" s="162">
        <f t="shared" si="2"/>
        <v>0.036226685796269725</v>
      </c>
    </row>
    <row r="14" spans="1:13" ht="12.75">
      <c r="A14" s="24">
        <f t="shared" si="3"/>
        <v>10</v>
      </c>
      <c r="B14" s="24" t="s">
        <v>108</v>
      </c>
      <c r="C14" s="163">
        <v>4578</v>
      </c>
      <c r="D14" s="158">
        <v>1570</v>
      </c>
      <c r="E14" s="122">
        <f t="shared" si="0"/>
        <v>0.028376741916243425</v>
      </c>
      <c r="F14" s="250"/>
      <c r="G14" s="24" t="s">
        <v>107</v>
      </c>
      <c r="H14" s="163">
        <v>1032</v>
      </c>
      <c r="I14" s="161">
        <f t="shared" si="1"/>
        <v>0.05968077723802915</v>
      </c>
      <c r="K14" s="24" t="s">
        <v>96</v>
      </c>
      <c r="L14" s="24">
        <f>17+80</f>
        <v>97</v>
      </c>
      <c r="M14" s="162">
        <f t="shared" si="2"/>
        <v>0.03479196556671449</v>
      </c>
    </row>
    <row r="15" spans="1:13" ht="12.75">
      <c r="A15" s="24">
        <f t="shared" si="3"/>
        <v>11</v>
      </c>
      <c r="B15" s="24" t="s">
        <v>93</v>
      </c>
      <c r="C15" s="163">
        <v>1714</v>
      </c>
      <c r="D15" s="158">
        <v>1378</v>
      </c>
      <c r="E15" s="122">
        <f t="shared" si="0"/>
        <v>0.024906465197823847</v>
      </c>
      <c r="F15" s="250"/>
      <c r="G15" s="24" t="s">
        <v>101</v>
      </c>
      <c r="H15" s="163">
        <v>147</v>
      </c>
      <c r="I15" s="161">
        <f t="shared" si="1"/>
        <v>0.008501040943789036</v>
      </c>
      <c r="K15" s="24" t="s">
        <v>83</v>
      </c>
      <c r="L15" s="24">
        <f>64+23</f>
        <v>87</v>
      </c>
      <c r="M15" s="162">
        <f t="shared" si="2"/>
        <v>0.031205164992826398</v>
      </c>
    </row>
    <row r="16" spans="1:13" ht="12.75">
      <c r="A16" s="24">
        <f t="shared" si="3"/>
        <v>12</v>
      </c>
      <c r="B16" s="24" t="s">
        <v>167</v>
      </c>
      <c r="C16" s="163">
        <v>1978</v>
      </c>
      <c r="D16" s="158">
        <v>1269</v>
      </c>
      <c r="E16" s="122">
        <f t="shared" si="0"/>
        <v>0.0229363601858044</v>
      </c>
      <c r="F16" s="250"/>
      <c r="G16" s="24" t="s">
        <v>110</v>
      </c>
      <c r="H16" s="163">
        <v>139</v>
      </c>
      <c r="I16" s="161">
        <f t="shared" si="1"/>
        <v>0.008038399259773305</v>
      </c>
      <c r="K16" s="24" t="s">
        <v>85</v>
      </c>
      <c r="L16" s="24">
        <v>73</v>
      </c>
      <c r="M16" s="162">
        <f t="shared" si="2"/>
        <v>0.02618364418938307</v>
      </c>
    </row>
    <row r="17" spans="1:13" ht="12.75">
      <c r="A17" s="24">
        <f t="shared" si="3"/>
        <v>13</v>
      </c>
      <c r="B17" s="24" t="s">
        <v>95</v>
      </c>
      <c r="C17" s="163">
        <v>1613</v>
      </c>
      <c r="D17" s="158">
        <v>1233</v>
      </c>
      <c r="E17" s="122">
        <f t="shared" si="0"/>
        <v>0.022285683301100728</v>
      </c>
      <c r="F17" s="250"/>
      <c r="G17" s="24" t="s">
        <v>91</v>
      </c>
      <c r="H17" s="163">
        <v>336</v>
      </c>
      <c r="I17" s="161">
        <f t="shared" si="1"/>
        <v>0.01943095072866065</v>
      </c>
      <c r="K17" s="24" t="s">
        <v>84</v>
      </c>
      <c r="L17" s="24">
        <f>47+21</f>
        <v>68</v>
      </c>
      <c r="M17" s="162">
        <f t="shared" si="2"/>
        <v>0.024390243902439025</v>
      </c>
    </row>
    <row r="18" spans="1:13" ht="12.75">
      <c r="A18" s="24">
        <f t="shared" si="3"/>
        <v>14</v>
      </c>
      <c r="B18" s="24" t="s">
        <v>96</v>
      </c>
      <c r="C18" s="163">
        <v>1596</v>
      </c>
      <c r="D18" s="158">
        <v>1135</v>
      </c>
      <c r="E18" s="122">
        <f t="shared" si="0"/>
        <v>0.02051439622607407</v>
      </c>
      <c r="F18" s="250"/>
      <c r="G18" s="24" t="s">
        <v>89</v>
      </c>
      <c r="H18" s="163">
        <v>298</v>
      </c>
      <c r="I18" s="161">
        <f t="shared" si="1"/>
        <v>0.017233402729585935</v>
      </c>
      <c r="K18" s="164" t="s">
        <v>74</v>
      </c>
      <c r="L18" s="164">
        <f>53+14</f>
        <v>67</v>
      </c>
      <c r="M18" s="162">
        <f t="shared" si="2"/>
        <v>0.024031563845050216</v>
      </c>
    </row>
    <row r="19" spans="1:13" ht="12.75">
      <c r="A19" s="24">
        <f t="shared" si="3"/>
        <v>15</v>
      </c>
      <c r="B19" s="24" t="s">
        <v>91</v>
      </c>
      <c r="C19" s="163">
        <v>3032</v>
      </c>
      <c r="D19" s="158">
        <v>1102</v>
      </c>
      <c r="E19" s="122">
        <f t="shared" si="0"/>
        <v>0.019917942415095705</v>
      </c>
      <c r="F19" s="250"/>
      <c r="G19" s="24" t="s">
        <v>90</v>
      </c>
      <c r="H19" s="163">
        <v>292</v>
      </c>
      <c r="I19" s="161">
        <f t="shared" si="1"/>
        <v>0.01688642146657414</v>
      </c>
      <c r="K19" s="24" t="s">
        <v>110</v>
      </c>
      <c r="L19" s="24">
        <f>13+51</f>
        <v>64</v>
      </c>
      <c r="M19" s="162">
        <f t="shared" si="2"/>
        <v>0.02295552367288379</v>
      </c>
    </row>
    <row r="20" spans="1:13" ht="12.75">
      <c r="A20" s="24">
        <f t="shared" si="3"/>
        <v>16</v>
      </c>
      <c r="B20" s="24" t="s">
        <v>89</v>
      </c>
      <c r="C20" s="163">
        <v>2801</v>
      </c>
      <c r="D20" s="158">
        <v>1018</v>
      </c>
      <c r="E20" s="122">
        <f t="shared" si="0"/>
        <v>0.01839969635078714</v>
      </c>
      <c r="F20" s="250"/>
      <c r="G20" s="24" t="s">
        <v>100</v>
      </c>
      <c r="H20" s="163">
        <v>189</v>
      </c>
      <c r="I20" s="161">
        <f t="shared" si="1"/>
        <v>0.010929909784871617</v>
      </c>
      <c r="K20" s="24" t="s">
        <v>92</v>
      </c>
      <c r="L20" s="24">
        <v>40</v>
      </c>
      <c r="M20" s="162">
        <f t="shared" si="2"/>
        <v>0.014347202295552367</v>
      </c>
    </row>
    <row r="21" spans="1:13" ht="12.75">
      <c r="A21" s="24">
        <f t="shared" si="3"/>
        <v>17</v>
      </c>
      <c r="B21" s="24" t="s">
        <v>90</v>
      </c>
      <c r="C21" s="163">
        <v>2597</v>
      </c>
      <c r="D21" s="158">
        <v>1005</v>
      </c>
      <c r="E21" s="122">
        <f t="shared" si="0"/>
        <v>0.01816472969797748</v>
      </c>
      <c r="F21" s="250"/>
      <c r="G21" s="24" t="s">
        <v>93</v>
      </c>
      <c r="H21" s="163">
        <v>351</v>
      </c>
      <c r="I21" s="161">
        <f t="shared" si="1"/>
        <v>0.020298403886190145</v>
      </c>
      <c r="K21" s="24" t="s">
        <v>164</v>
      </c>
      <c r="L21" s="24">
        <v>29</v>
      </c>
      <c r="M21" s="162">
        <f t="shared" si="2"/>
        <v>0.010401721664275465</v>
      </c>
    </row>
    <row r="22" spans="1:13" ht="12.75">
      <c r="A22" s="24">
        <f t="shared" si="3"/>
        <v>18</v>
      </c>
      <c r="B22" s="24" t="s">
        <v>92</v>
      </c>
      <c r="C22" s="163">
        <v>2174</v>
      </c>
      <c r="D22" s="158">
        <v>809</v>
      </c>
      <c r="E22" s="122">
        <f t="shared" si="0"/>
        <v>0.01462215554792416</v>
      </c>
      <c r="F22" s="250"/>
      <c r="G22" s="24" t="s">
        <v>84</v>
      </c>
      <c r="H22" s="163">
        <v>767</v>
      </c>
      <c r="I22" s="161">
        <f t="shared" si="1"/>
        <v>0.044355771455008096</v>
      </c>
      <c r="K22" s="24" t="s">
        <v>87</v>
      </c>
      <c r="L22" s="24">
        <v>27</v>
      </c>
      <c r="M22" s="162">
        <f t="shared" si="2"/>
        <v>0.009684361549497847</v>
      </c>
    </row>
    <row r="23" spans="1:13" ht="12.75">
      <c r="A23" s="24">
        <f t="shared" si="3"/>
        <v>19</v>
      </c>
      <c r="B23" s="24" t="s">
        <v>94</v>
      </c>
      <c r="C23" s="163">
        <v>1724</v>
      </c>
      <c r="D23" s="158">
        <v>753</v>
      </c>
      <c r="E23" s="122">
        <f t="shared" si="0"/>
        <v>0.013609991505051783</v>
      </c>
      <c r="F23" s="250"/>
      <c r="G23" s="24" t="s">
        <v>164</v>
      </c>
      <c r="H23" s="163">
        <v>171</v>
      </c>
      <c r="I23" s="161">
        <f t="shared" si="1"/>
        <v>0.009888965995836226</v>
      </c>
      <c r="K23" s="24" t="s">
        <v>89</v>
      </c>
      <c r="L23" s="24">
        <v>26</v>
      </c>
      <c r="M23" s="162">
        <f t="shared" si="2"/>
        <v>0.009325681492109038</v>
      </c>
    </row>
    <row r="24" spans="1:13" ht="12.75">
      <c r="A24" s="24">
        <f t="shared" si="3"/>
        <v>20</v>
      </c>
      <c r="B24" s="24" t="s">
        <v>100</v>
      </c>
      <c r="C24" s="163">
        <v>1254</v>
      </c>
      <c r="D24" s="158">
        <v>745</v>
      </c>
      <c r="E24" s="122">
        <f t="shared" si="0"/>
        <v>0.0134653966417843</v>
      </c>
      <c r="F24" s="250"/>
      <c r="G24" s="24" t="s">
        <v>87</v>
      </c>
      <c r="H24" s="163">
        <v>490</v>
      </c>
      <c r="I24" s="161">
        <f t="shared" si="1"/>
        <v>0.02833680314596345</v>
      </c>
      <c r="K24" s="24" t="s">
        <v>91</v>
      </c>
      <c r="L24" s="24">
        <v>26</v>
      </c>
      <c r="M24" s="162">
        <f t="shared" si="2"/>
        <v>0.009325681492109038</v>
      </c>
    </row>
    <row r="25" spans="1:13" ht="12.75">
      <c r="A25" s="24">
        <f t="shared" si="3"/>
        <v>21</v>
      </c>
      <c r="B25" s="24" t="s">
        <v>164</v>
      </c>
      <c r="C25" s="163">
        <v>2743</v>
      </c>
      <c r="D25" s="158">
        <v>649</v>
      </c>
      <c r="E25" s="122">
        <f t="shared" si="0"/>
        <v>0.011730258282574511</v>
      </c>
      <c r="F25" s="250"/>
      <c r="G25" s="24" t="s">
        <v>94</v>
      </c>
      <c r="H25" s="163">
        <v>177</v>
      </c>
      <c r="I25" s="161">
        <f t="shared" si="1"/>
        <v>0.010235947258848022</v>
      </c>
      <c r="K25" s="24" t="s">
        <v>99</v>
      </c>
      <c r="L25" s="24">
        <v>25</v>
      </c>
      <c r="M25" s="162">
        <f t="shared" si="2"/>
        <v>0.008967001434720229</v>
      </c>
    </row>
    <row r="26" spans="1:13" ht="12.75">
      <c r="A26" s="24">
        <f t="shared" si="3"/>
        <v>22</v>
      </c>
      <c r="B26" s="24" t="s">
        <v>101</v>
      </c>
      <c r="C26" s="163">
        <v>741</v>
      </c>
      <c r="D26" s="158">
        <v>563</v>
      </c>
      <c r="E26" s="122">
        <f t="shared" si="0"/>
        <v>0.010175863502449076</v>
      </c>
      <c r="F26" s="250"/>
      <c r="G26" s="24" t="s">
        <v>98</v>
      </c>
      <c r="H26" s="163">
        <v>101</v>
      </c>
      <c r="I26" s="161">
        <f t="shared" si="1"/>
        <v>0.005840851260698589</v>
      </c>
      <c r="K26" s="24" t="s">
        <v>102</v>
      </c>
      <c r="L26" s="24">
        <v>25</v>
      </c>
      <c r="M26" s="162">
        <f t="shared" si="2"/>
        <v>0.008967001434720229</v>
      </c>
    </row>
    <row r="27" spans="1:13" ht="12.75">
      <c r="A27" s="24">
        <f t="shared" si="3"/>
        <v>23</v>
      </c>
      <c r="B27" s="24" t="s">
        <v>110</v>
      </c>
      <c r="C27" s="163">
        <v>734</v>
      </c>
      <c r="D27" s="158">
        <v>503</v>
      </c>
      <c r="E27" s="122">
        <f t="shared" si="0"/>
        <v>0.009091402027942957</v>
      </c>
      <c r="F27" s="250"/>
      <c r="G27" s="24" t="s">
        <v>95</v>
      </c>
      <c r="H27" s="163">
        <v>234</v>
      </c>
      <c r="I27" s="161">
        <f t="shared" si="1"/>
        <v>0.013532269257460098</v>
      </c>
      <c r="K27" s="24" t="s">
        <v>94</v>
      </c>
      <c r="L27" s="24">
        <v>24</v>
      </c>
      <c r="M27" s="162">
        <f t="shared" si="2"/>
        <v>0.00860832137733142</v>
      </c>
    </row>
    <row r="28" spans="1:13" ht="12.75">
      <c r="A28" s="24">
        <f t="shared" si="3"/>
        <v>24</v>
      </c>
      <c r="B28" s="24" t="s">
        <v>99</v>
      </c>
      <c r="C28" s="163">
        <v>1093</v>
      </c>
      <c r="D28" s="158">
        <v>470</v>
      </c>
      <c r="E28" s="122">
        <f t="shared" si="0"/>
        <v>0.008494948216964593</v>
      </c>
      <c r="F28" s="250"/>
      <c r="G28" s="24" t="s">
        <v>96</v>
      </c>
      <c r="H28" s="163">
        <v>232</v>
      </c>
      <c r="I28" s="161">
        <f t="shared" si="1"/>
        <v>0.013416608836456165</v>
      </c>
      <c r="K28" s="24" t="s">
        <v>90</v>
      </c>
      <c r="L28" s="24">
        <v>22</v>
      </c>
      <c r="M28" s="162">
        <f t="shared" si="2"/>
        <v>0.007890961262553802</v>
      </c>
    </row>
    <row r="29" spans="1:13" ht="12.75">
      <c r="A29" s="24">
        <f t="shared" si="3"/>
        <v>25</v>
      </c>
      <c r="B29" s="24" t="s">
        <v>98</v>
      </c>
      <c r="C29" s="163">
        <v>1130</v>
      </c>
      <c r="D29" s="158">
        <v>456</v>
      </c>
      <c r="E29" s="122">
        <f t="shared" si="0"/>
        <v>0.008241907206246499</v>
      </c>
      <c r="F29" s="250"/>
      <c r="G29" s="24" t="s">
        <v>97</v>
      </c>
      <c r="H29" s="163">
        <v>81</v>
      </c>
      <c r="I29" s="161">
        <f t="shared" si="1"/>
        <v>0.004684247050659264</v>
      </c>
      <c r="K29" s="24" t="s">
        <v>108</v>
      </c>
      <c r="L29" s="24">
        <v>21</v>
      </c>
      <c r="M29" s="162">
        <f t="shared" si="2"/>
        <v>0.007532281205164993</v>
      </c>
    </row>
    <row r="30" spans="1:13" ht="12.75">
      <c r="A30" s="24">
        <f t="shared" si="3"/>
        <v>26</v>
      </c>
      <c r="B30" s="24" t="s">
        <v>97</v>
      </c>
      <c r="C30" s="163">
        <v>1658</v>
      </c>
      <c r="D30" s="163">
        <v>425</v>
      </c>
      <c r="E30" s="122">
        <f t="shared" si="0"/>
        <v>0.007681602111085004</v>
      </c>
      <c r="F30" s="250"/>
      <c r="G30" s="24" t="s">
        <v>99</v>
      </c>
      <c r="H30" s="163">
        <v>74</v>
      </c>
      <c r="I30" s="161">
        <f t="shared" si="1"/>
        <v>0.0042794355771455005</v>
      </c>
      <c r="K30" s="24" t="s">
        <v>98</v>
      </c>
      <c r="L30" s="24">
        <v>11</v>
      </c>
      <c r="M30" s="162">
        <f t="shared" si="2"/>
        <v>0.003945480631276901</v>
      </c>
    </row>
    <row r="31" spans="1:13" ht="12.75">
      <c r="A31" s="24">
        <f t="shared" si="3"/>
        <v>27</v>
      </c>
      <c r="B31" s="24" t="s">
        <v>102</v>
      </c>
      <c r="C31" s="163">
        <v>543</v>
      </c>
      <c r="D31" s="163">
        <v>363</v>
      </c>
      <c r="E31" s="122">
        <f t="shared" si="0"/>
        <v>0.006560991920762015</v>
      </c>
      <c r="F31" s="250"/>
      <c r="G31" s="24" t="s">
        <v>102</v>
      </c>
      <c r="H31" s="163">
        <v>53</v>
      </c>
      <c r="I31" s="161">
        <f t="shared" si="1"/>
        <v>0.00306500115660421</v>
      </c>
      <c r="J31" s="167"/>
      <c r="K31" s="24" t="s">
        <v>97</v>
      </c>
      <c r="L31" s="24">
        <v>7</v>
      </c>
      <c r="M31" s="162">
        <f t="shared" si="2"/>
        <v>0.002510760401721664</v>
      </c>
    </row>
    <row r="32" spans="1:13" ht="12.75">
      <c r="A32" s="218" t="s">
        <v>9</v>
      </c>
      <c r="B32" s="219"/>
      <c r="C32" s="38">
        <f>SUM(C5:C31)</f>
        <v>140535</v>
      </c>
      <c r="D32" s="38">
        <f>SUM(D5:D31)</f>
        <v>55327</v>
      </c>
      <c r="E32" s="168">
        <f>SUM(E5:E31)</f>
        <v>0.9999999999999998</v>
      </c>
      <c r="F32" s="251"/>
      <c r="G32" s="157" t="s">
        <v>9</v>
      </c>
      <c r="H32" s="38">
        <f>SUM(H5:H31)</f>
        <v>17292</v>
      </c>
      <c r="I32" s="168">
        <f>SUM(I5:I31)</f>
        <v>1</v>
      </c>
      <c r="K32" s="157" t="s">
        <v>9</v>
      </c>
      <c r="L32" s="38">
        <f>SUM(L5:L31)</f>
        <v>2788</v>
      </c>
      <c r="M32" s="168">
        <f>SUM(M5:M31)</f>
        <v>1</v>
      </c>
    </row>
  </sheetData>
  <sheetProtection password="CE60" sheet="1" objects="1" scenarios="1"/>
  <mergeCells count="6">
    <mergeCell ref="A32:B32"/>
    <mergeCell ref="G3:I3"/>
    <mergeCell ref="K3:M3"/>
    <mergeCell ref="A3:A4"/>
    <mergeCell ref="B3:E3"/>
    <mergeCell ref="A1:M2"/>
  </mergeCells>
  <printOptions/>
  <pageMargins left="0.75" right="0.75" top="1" bottom="1" header="0.5" footer="0.5"/>
  <pageSetup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34"/>
  <sheetViews>
    <sheetView workbookViewId="0" topLeftCell="A1">
      <selection activeCell="A1" sqref="A1"/>
    </sheetView>
  </sheetViews>
  <sheetFormatPr defaultColWidth="9.140625" defaultRowHeight="15"/>
  <cols>
    <col min="1" max="1" width="7.421875" style="258" customWidth="1"/>
    <col min="2" max="2" width="36.00390625" style="258" customWidth="1"/>
    <col min="3" max="3" width="9.8515625" style="258" bestFit="1" customWidth="1"/>
    <col min="4" max="4" width="11.28125" style="258" bestFit="1" customWidth="1"/>
    <col min="5" max="5" width="9.8515625" style="258" bestFit="1" customWidth="1"/>
    <col min="6" max="6" width="11.28125" style="258" bestFit="1" customWidth="1"/>
    <col min="7" max="7" width="9.7109375" style="258" bestFit="1" customWidth="1"/>
    <col min="8" max="8" width="11.28125" style="258" bestFit="1" customWidth="1"/>
    <col min="9" max="9" width="9.8515625" style="258" bestFit="1" customWidth="1"/>
    <col min="10" max="10" width="11.28125" style="258" bestFit="1" customWidth="1"/>
    <col min="11" max="11" width="10.8515625" style="258" bestFit="1" customWidth="1"/>
    <col min="12" max="12" width="11.28125" style="258" bestFit="1" customWidth="1"/>
    <col min="13" max="16384" width="9.140625" style="258" customWidth="1"/>
  </cols>
  <sheetData>
    <row r="3" spans="1:17" ht="15">
      <c r="A3" s="252" t="s">
        <v>212</v>
      </c>
      <c r="B3" s="253"/>
      <c r="C3" s="254" t="s">
        <v>33</v>
      </c>
      <c r="D3" s="254" t="s">
        <v>209</v>
      </c>
      <c r="E3" s="254" t="s">
        <v>59</v>
      </c>
      <c r="F3" s="255" t="s">
        <v>10</v>
      </c>
      <c r="G3" s="254" t="s">
        <v>211</v>
      </c>
      <c r="H3" s="255" t="s">
        <v>10</v>
      </c>
      <c r="I3" s="255" t="s">
        <v>29</v>
      </c>
      <c r="J3" s="255" t="s">
        <v>10</v>
      </c>
      <c r="K3" s="254" t="s">
        <v>9</v>
      </c>
      <c r="L3" s="256" t="s">
        <v>10</v>
      </c>
      <c r="M3" s="257"/>
      <c r="N3" s="257"/>
      <c r="O3" s="257"/>
      <c r="P3" s="257"/>
      <c r="Q3" s="257"/>
    </row>
    <row r="4" spans="1:17" ht="15">
      <c r="A4" s="259" t="s">
        <v>210</v>
      </c>
      <c r="B4" s="260"/>
      <c r="C4" s="261" t="s">
        <v>163</v>
      </c>
      <c r="D4" s="261" t="s">
        <v>163</v>
      </c>
      <c r="E4" s="261" t="s">
        <v>29</v>
      </c>
      <c r="F4" s="262"/>
      <c r="G4" s="261" t="s">
        <v>163</v>
      </c>
      <c r="H4" s="262"/>
      <c r="I4" s="262"/>
      <c r="J4" s="262"/>
      <c r="K4" s="261" t="s">
        <v>25</v>
      </c>
      <c r="L4" s="256"/>
      <c r="M4" s="257"/>
      <c r="N4" s="257"/>
      <c r="O4" s="257"/>
      <c r="P4" s="257"/>
      <c r="Q4" s="257"/>
    </row>
    <row r="5" spans="1:17" ht="15">
      <c r="A5" s="263">
        <v>1</v>
      </c>
      <c r="B5" s="189" t="s">
        <v>196</v>
      </c>
      <c r="C5" s="264">
        <v>17292</v>
      </c>
      <c r="D5" s="265">
        <f>C5/$C$20</f>
        <v>0.3291269342773939</v>
      </c>
      <c r="E5" s="266">
        <v>85208</v>
      </c>
      <c r="F5" s="267">
        <f>E5/E20</f>
        <v>1</v>
      </c>
      <c r="G5" s="266">
        <v>2788</v>
      </c>
      <c r="H5" s="267">
        <f>G5/G20</f>
        <v>1</v>
      </c>
      <c r="I5" s="266">
        <v>55327</v>
      </c>
      <c r="J5" s="267">
        <f>I5/I20</f>
        <v>1</v>
      </c>
      <c r="K5" s="266">
        <f>C20+E20+G20</f>
        <v>140535</v>
      </c>
      <c r="L5" s="268">
        <f>K5/K20</f>
        <v>1</v>
      </c>
      <c r="M5" s="257"/>
      <c r="N5" s="257"/>
      <c r="O5" s="257"/>
      <c r="P5" s="257"/>
      <c r="Q5" s="257"/>
    </row>
    <row r="6" spans="1:17" ht="15">
      <c r="A6" s="263">
        <f>A5+1</f>
        <v>2</v>
      </c>
      <c r="B6" s="189" t="s">
        <v>194</v>
      </c>
      <c r="C6" s="264">
        <v>11494</v>
      </c>
      <c r="D6" s="265">
        <f aca="true" t="shared" si="0" ref="D6:D19">C6/$C$20</f>
        <v>0.21877081786863092</v>
      </c>
      <c r="E6" s="269"/>
      <c r="F6" s="270"/>
      <c r="G6" s="269"/>
      <c r="H6" s="270"/>
      <c r="I6" s="269"/>
      <c r="J6" s="270"/>
      <c r="K6" s="269"/>
      <c r="L6" s="268"/>
      <c r="M6" s="257"/>
      <c r="N6" s="257"/>
      <c r="O6" s="257"/>
      <c r="P6" s="257"/>
      <c r="Q6" s="257"/>
    </row>
    <row r="7" spans="1:17" ht="15">
      <c r="A7" s="263">
        <f aca="true" t="shared" si="1" ref="A7:A19">A6+1</f>
        <v>3</v>
      </c>
      <c r="B7" s="189" t="s">
        <v>195</v>
      </c>
      <c r="C7" s="264">
        <v>10302</v>
      </c>
      <c r="D7" s="265">
        <f t="shared" si="0"/>
        <v>0.19608290983840576</v>
      </c>
      <c r="E7" s="269"/>
      <c r="F7" s="270"/>
      <c r="G7" s="269"/>
      <c r="H7" s="270"/>
      <c r="I7" s="269"/>
      <c r="J7" s="270"/>
      <c r="K7" s="269"/>
      <c r="L7" s="268"/>
      <c r="M7" s="257"/>
      <c r="N7" s="257"/>
      <c r="O7" s="257"/>
      <c r="P7" s="257"/>
      <c r="Q7" s="257"/>
    </row>
    <row r="8" spans="1:17" ht="15">
      <c r="A8" s="263">
        <f t="shared" si="1"/>
        <v>4</v>
      </c>
      <c r="B8" s="189" t="s">
        <v>197</v>
      </c>
      <c r="C8" s="264">
        <v>4448</v>
      </c>
      <c r="D8" s="265">
        <f t="shared" si="0"/>
        <v>0.08466091855573954</v>
      </c>
      <c r="E8" s="269"/>
      <c r="F8" s="270"/>
      <c r="G8" s="269"/>
      <c r="H8" s="270"/>
      <c r="I8" s="269"/>
      <c r="J8" s="270"/>
      <c r="K8" s="269"/>
      <c r="L8" s="268"/>
      <c r="M8" s="257"/>
      <c r="N8" s="257"/>
      <c r="O8" s="257"/>
      <c r="P8" s="257"/>
      <c r="Q8" s="257"/>
    </row>
    <row r="9" spans="1:17" ht="15">
      <c r="A9" s="263">
        <f t="shared" si="1"/>
        <v>5</v>
      </c>
      <c r="B9" s="189" t="s">
        <v>198</v>
      </c>
      <c r="C9" s="264">
        <v>3722</v>
      </c>
      <c r="D9" s="265">
        <f t="shared" si="0"/>
        <v>0.07084261215478026</v>
      </c>
      <c r="E9" s="269"/>
      <c r="F9" s="270"/>
      <c r="G9" s="269"/>
      <c r="H9" s="270"/>
      <c r="I9" s="269"/>
      <c r="J9" s="270"/>
      <c r="K9" s="269"/>
      <c r="L9" s="268"/>
      <c r="M9" s="257"/>
      <c r="N9" s="257"/>
      <c r="O9" s="257"/>
      <c r="P9" s="257"/>
      <c r="Q9" s="257"/>
    </row>
    <row r="10" spans="1:17" ht="15">
      <c r="A10" s="263">
        <f t="shared" si="1"/>
        <v>6</v>
      </c>
      <c r="B10" s="189" t="s">
        <v>200</v>
      </c>
      <c r="C10" s="264">
        <v>2049</v>
      </c>
      <c r="D10" s="265">
        <f t="shared" si="0"/>
        <v>0.03899960029692229</v>
      </c>
      <c r="E10" s="269"/>
      <c r="F10" s="270"/>
      <c r="G10" s="269"/>
      <c r="H10" s="270"/>
      <c r="I10" s="269"/>
      <c r="J10" s="270"/>
      <c r="K10" s="269"/>
      <c r="L10" s="268"/>
      <c r="M10" s="257"/>
      <c r="N10" s="257"/>
      <c r="O10" s="257"/>
      <c r="P10" s="257"/>
      <c r="Q10" s="257"/>
    </row>
    <row r="11" spans="1:17" ht="15">
      <c r="A11" s="263">
        <f t="shared" si="1"/>
        <v>7</v>
      </c>
      <c r="B11" s="189" t="s">
        <v>201</v>
      </c>
      <c r="C11" s="264">
        <v>1318</v>
      </c>
      <c r="D11" s="265">
        <f t="shared" si="0"/>
        <v>0.025086126496507356</v>
      </c>
      <c r="E11" s="269"/>
      <c r="F11" s="270"/>
      <c r="G11" s="269"/>
      <c r="H11" s="270"/>
      <c r="I11" s="269"/>
      <c r="J11" s="270"/>
      <c r="K11" s="269"/>
      <c r="L11" s="268"/>
      <c r="M11" s="257"/>
      <c r="N11" s="257"/>
      <c r="O11" s="257"/>
      <c r="P11" s="257"/>
      <c r="Q11" s="257"/>
    </row>
    <row r="12" spans="1:17" ht="15">
      <c r="A12" s="263">
        <f t="shared" si="1"/>
        <v>8</v>
      </c>
      <c r="B12" s="189" t="s">
        <v>199</v>
      </c>
      <c r="C12" s="264">
        <v>642</v>
      </c>
      <c r="D12" s="265">
        <f t="shared" si="0"/>
        <v>0.012219494090104494</v>
      </c>
      <c r="E12" s="269"/>
      <c r="F12" s="270"/>
      <c r="G12" s="269"/>
      <c r="H12" s="270"/>
      <c r="I12" s="269"/>
      <c r="J12" s="270"/>
      <c r="K12" s="269"/>
      <c r="L12" s="268"/>
      <c r="M12" s="257"/>
      <c r="N12" s="257"/>
      <c r="O12" s="257"/>
      <c r="P12" s="257"/>
      <c r="Q12" s="257"/>
    </row>
    <row r="13" spans="1:17" ht="15">
      <c r="A13" s="263">
        <f t="shared" si="1"/>
        <v>9</v>
      </c>
      <c r="B13" s="189" t="s">
        <v>202</v>
      </c>
      <c r="C13" s="264">
        <v>581</v>
      </c>
      <c r="D13" s="265">
        <f t="shared" si="0"/>
        <v>0.011058451816745656</v>
      </c>
      <c r="E13" s="269"/>
      <c r="F13" s="270"/>
      <c r="G13" s="269"/>
      <c r="H13" s="270"/>
      <c r="I13" s="269"/>
      <c r="J13" s="270"/>
      <c r="K13" s="269"/>
      <c r="L13" s="268"/>
      <c r="M13" s="257"/>
      <c r="N13" s="257"/>
      <c r="O13" s="257"/>
      <c r="P13" s="257"/>
      <c r="Q13" s="257"/>
    </row>
    <row r="14" spans="1:17" ht="15">
      <c r="A14" s="263">
        <f t="shared" si="1"/>
        <v>10</v>
      </c>
      <c r="B14" s="189" t="s">
        <v>203</v>
      </c>
      <c r="C14" s="264">
        <v>198</v>
      </c>
      <c r="D14" s="265">
        <f t="shared" si="0"/>
        <v>0.003768629018443442</v>
      </c>
      <c r="E14" s="269"/>
      <c r="F14" s="270"/>
      <c r="G14" s="269"/>
      <c r="H14" s="270"/>
      <c r="I14" s="269"/>
      <c r="J14" s="270"/>
      <c r="K14" s="269"/>
      <c r="L14" s="268"/>
      <c r="M14" s="257"/>
      <c r="N14" s="257"/>
      <c r="O14" s="257"/>
      <c r="P14" s="257"/>
      <c r="Q14" s="257"/>
    </row>
    <row r="15" spans="1:17" ht="15">
      <c r="A15" s="263">
        <f t="shared" si="1"/>
        <v>11</v>
      </c>
      <c r="B15" s="189" t="s">
        <v>206</v>
      </c>
      <c r="C15" s="263">
        <v>165</v>
      </c>
      <c r="D15" s="265">
        <f t="shared" si="0"/>
        <v>0.0031405241820362017</v>
      </c>
      <c r="E15" s="269"/>
      <c r="F15" s="270"/>
      <c r="G15" s="269"/>
      <c r="H15" s="270"/>
      <c r="I15" s="269"/>
      <c r="J15" s="270"/>
      <c r="K15" s="269"/>
      <c r="L15" s="268"/>
      <c r="M15" s="257"/>
      <c r="N15" s="257"/>
      <c r="O15" s="257"/>
      <c r="P15" s="257"/>
      <c r="Q15" s="257"/>
    </row>
    <row r="16" spans="1:17" ht="15">
      <c r="A16" s="263">
        <f t="shared" si="1"/>
        <v>12</v>
      </c>
      <c r="B16" s="189" t="s">
        <v>208</v>
      </c>
      <c r="C16" s="264">
        <v>102</v>
      </c>
      <c r="D16" s="265">
        <f t="shared" si="0"/>
        <v>0.0019414149488951064</v>
      </c>
      <c r="E16" s="269"/>
      <c r="F16" s="270"/>
      <c r="G16" s="269"/>
      <c r="H16" s="270"/>
      <c r="I16" s="269"/>
      <c r="J16" s="270"/>
      <c r="K16" s="269"/>
      <c r="L16" s="268"/>
      <c r="M16" s="257"/>
      <c r="N16" s="257"/>
      <c r="O16" s="257"/>
      <c r="P16" s="257"/>
      <c r="Q16" s="257"/>
    </row>
    <row r="17" spans="1:17" ht="15">
      <c r="A17" s="263">
        <f t="shared" si="1"/>
        <v>13</v>
      </c>
      <c r="B17" s="189" t="s">
        <v>204</v>
      </c>
      <c r="C17" s="264">
        <v>92</v>
      </c>
      <c r="D17" s="265">
        <f t="shared" si="0"/>
        <v>0.0017510801499838215</v>
      </c>
      <c r="E17" s="269"/>
      <c r="F17" s="270"/>
      <c r="G17" s="269"/>
      <c r="H17" s="270"/>
      <c r="I17" s="269"/>
      <c r="J17" s="270"/>
      <c r="K17" s="269"/>
      <c r="L17" s="268"/>
      <c r="M17" s="257"/>
      <c r="N17" s="257"/>
      <c r="O17" s="257"/>
      <c r="P17" s="257"/>
      <c r="Q17" s="257"/>
    </row>
    <row r="18" spans="1:17" ht="15">
      <c r="A18" s="263">
        <f t="shared" si="1"/>
        <v>14</v>
      </c>
      <c r="B18" s="189" t="s">
        <v>205</v>
      </c>
      <c r="C18" s="264">
        <v>77</v>
      </c>
      <c r="D18" s="265">
        <f t="shared" si="0"/>
        <v>0.001465577951616894</v>
      </c>
      <c r="E18" s="269"/>
      <c r="F18" s="270"/>
      <c r="G18" s="269"/>
      <c r="H18" s="270"/>
      <c r="I18" s="269"/>
      <c r="J18" s="270"/>
      <c r="K18" s="269"/>
      <c r="L18" s="268"/>
      <c r="M18" s="257"/>
      <c r="N18" s="257"/>
      <c r="O18" s="257"/>
      <c r="P18" s="257"/>
      <c r="Q18" s="257"/>
    </row>
    <row r="19" spans="1:17" ht="15">
      <c r="A19" s="263">
        <f t="shared" si="1"/>
        <v>15</v>
      </c>
      <c r="B19" s="189" t="s">
        <v>207</v>
      </c>
      <c r="C19" s="264">
        <v>57</v>
      </c>
      <c r="D19" s="265">
        <f t="shared" si="0"/>
        <v>0.0010849083537943242</v>
      </c>
      <c r="E19" s="271"/>
      <c r="F19" s="272"/>
      <c r="G19" s="271"/>
      <c r="H19" s="272"/>
      <c r="I19" s="271"/>
      <c r="J19" s="272"/>
      <c r="K19" s="271"/>
      <c r="L19" s="268"/>
      <c r="M19" s="257"/>
      <c r="N19" s="257"/>
      <c r="O19" s="257"/>
      <c r="P19" s="257"/>
      <c r="Q19" s="257"/>
    </row>
    <row r="20" spans="1:17" ht="15">
      <c r="A20" s="273" t="s">
        <v>9</v>
      </c>
      <c r="B20" s="273"/>
      <c r="C20" s="274">
        <f>SUM(C5:C19)</f>
        <v>52539</v>
      </c>
      <c r="D20" s="275">
        <f>SUM(D5:D19)</f>
        <v>1.0000000000000002</v>
      </c>
      <c r="E20" s="274">
        <f aca="true" t="shared" si="2" ref="E20:L20">E5</f>
        <v>85208</v>
      </c>
      <c r="F20" s="275">
        <f t="shared" si="2"/>
        <v>1</v>
      </c>
      <c r="G20" s="274">
        <f t="shared" si="2"/>
        <v>2788</v>
      </c>
      <c r="H20" s="275">
        <f t="shared" si="2"/>
        <v>1</v>
      </c>
      <c r="I20" s="276">
        <f t="shared" si="2"/>
        <v>55327</v>
      </c>
      <c r="J20" s="275">
        <f t="shared" si="2"/>
        <v>1</v>
      </c>
      <c r="K20" s="274">
        <f t="shared" si="2"/>
        <v>140535</v>
      </c>
      <c r="L20" s="275">
        <f t="shared" si="2"/>
        <v>1</v>
      </c>
      <c r="M20" s="257"/>
      <c r="N20" s="257"/>
      <c r="O20" s="257"/>
      <c r="P20" s="257"/>
      <c r="Q20" s="257"/>
    </row>
    <row r="21" spans="1:2" ht="15">
      <c r="A21" s="277"/>
      <c r="B21" s="190"/>
    </row>
    <row r="22" spans="1:2" ht="15">
      <c r="A22" s="277"/>
      <c r="B22" s="190"/>
    </row>
    <row r="23" spans="1:2" ht="15">
      <c r="A23" s="277"/>
      <c r="B23" s="277"/>
    </row>
    <row r="24" spans="1:2" ht="15">
      <c r="A24" s="277"/>
      <c r="B24" s="190"/>
    </row>
    <row r="25" spans="1:2" ht="15">
      <c r="A25" s="277"/>
      <c r="B25" s="190"/>
    </row>
    <row r="26" spans="1:2" ht="15">
      <c r="A26" s="277"/>
      <c r="B26" s="277"/>
    </row>
    <row r="27" spans="1:2" ht="15">
      <c r="A27" s="277"/>
      <c r="B27" s="190"/>
    </row>
    <row r="28" spans="1:2" ht="15">
      <c r="A28" s="277"/>
      <c r="B28" s="277"/>
    </row>
    <row r="29" spans="1:2" ht="15">
      <c r="A29" s="277"/>
      <c r="B29" s="277"/>
    </row>
    <row r="30" spans="1:2" ht="15">
      <c r="A30" s="277"/>
      <c r="B30" s="190"/>
    </row>
    <row r="31" spans="1:2" ht="15">
      <c r="A31" s="277"/>
      <c r="B31" s="190"/>
    </row>
    <row r="32" spans="1:2" ht="15">
      <c r="A32" s="277"/>
      <c r="B32" s="190"/>
    </row>
    <row r="33" spans="1:2" ht="15">
      <c r="A33" s="277"/>
      <c r="B33" s="277"/>
    </row>
    <row r="34" spans="1:2" ht="15">
      <c r="A34" s="277"/>
      <c r="B34" s="277"/>
    </row>
  </sheetData>
  <sheetProtection password="CE60" sheet="1" objects="1" scenarios="1"/>
  <mergeCells count="16">
    <mergeCell ref="A20:B20"/>
    <mergeCell ref="E5:E19"/>
    <mergeCell ref="F3:F4"/>
    <mergeCell ref="H3:H4"/>
    <mergeCell ref="A3:B3"/>
    <mergeCell ref="A4:B4"/>
    <mergeCell ref="F5:F19"/>
    <mergeCell ref="K5:K19"/>
    <mergeCell ref="H5:H19"/>
    <mergeCell ref="J5:J19"/>
    <mergeCell ref="G5:G19"/>
    <mergeCell ref="I5:I19"/>
    <mergeCell ref="L5:L19"/>
    <mergeCell ref="L3:L4"/>
    <mergeCell ref="I3:I4"/>
    <mergeCell ref="J3:J4"/>
  </mergeCells>
  <printOptions/>
  <pageMargins left="0.75" right="0.75" top="1" bottom="1" header="0.5" footer="0.5"/>
  <pageSetup orientation="landscape" paperSize="9" scale="86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5"/>
  <cols>
    <col min="1" max="1" width="5.28125" style="86" customWidth="1"/>
    <col min="2" max="2" width="24.8515625" style="86" customWidth="1"/>
    <col min="3" max="3" width="9.7109375" style="86" customWidth="1"/>
    <col min="4" max="4" width="11.421875" style="86" customWidth="1"/>
    <col min="5" max="5" width="16.140625" style="86" customWidth="1"/>
    <col min="6" max="6" width="14.7109375" style="86" customWidth="1"/>
    <col min="7" max="7" width="9.140625" style="86" customWidth="1"/>
    <col min="8" max="8" width="24.8515625" style="86" customWidth="1"/>
    <col min="9" max="16384" width="9.140625" style="86" customWidth="1"/>
  </cols>
  <sheetData>
    <row r="1" spans="2:6" ht="13.5" thickBot="1">
      <c r="B1" s="86" t="s">
        <v>106</v>
      </c>
      <c r="C1" s="86" t="s">
        <v>103</v>
      </c>
      <c r="D1" s="86" t="s">
        <v>104</v>
      </c>
      <c r="E1" s="86" t="s">
        <v>113</v>
      </c>
      <c r="F1" s="86" t="s">
        <v>105</v>
      </c>
    </row>
    <row r="2" spans="1:8" ht="13.5" thickBot="1">
      <c r="A2" s="86">
        <v>1</v>
      </c>
      <c r="B2" s="97" t="str">
        <f>H2</f>
        <v>Crotone</v>
      </c>
      <c r="C2" s="98">
        <v>62178</v>
      </c>
      <c r="D2" s="99">
        <v>182</v>
      </c>
      <c r="E2" s="99">
        <v>342</v>
      </c>
      <c r="F2" s="99">
        <v>8</v>
      </c>
      <c r="H2" s="86" t="s">
        <v>82</v>
      </c>
    </row>
    <row r="3" spans="1:11" ht="13.5" thickBot="1">
      <c r="A3" s="86">
        <v>2</v>
      </c>
      <c r="B3" s="97" t="str">
        <f aca="true" t="shared" si="0" ref="B3:B28">H3</f>
        <v>Isola Di Capo Rizzuto</v>
      </c>
      <c r="C3" s="98">
        <v>17643</v>
      </c>
      <c r="D3" s="99">
        <v>126.65</v>
      </c>
      <c r="E3" s="99">
        <v>139</v>
      </c>
      <c r="F3" s="99">
        <v>90</v>
      </c>
      <c r="H3" s="86" t="s">
        <v>107</v>
      </c>
      <c r="J3" s="86" t="s">
        <v>112</v>
      </c>
      <c r="K3" s="86" t="s">
        <v>114</v>
      </c>
    </row>
    <row r="4" spans="1:8" ht="13.5" thickBot="1">
      <c r="A4" s="86">
        <v>3</v>
      </c>
      <c r="B4" s="97" t="str">
        <f t="shared" si="0"/>
        <v>Cirò Marina</v>
      </c>
      <c r="C4" s="98">
        <v>14902</v>
      </c>
      <c r="D4" s="99">
        <v>41.68</v>
      </c>
      <c r="E4" s="99">
        <v>358</v>
      </c>
      <c r="F4" s="99">
        <v>5</v>
      </c>
      <c r="H4" s="86" t="s">
        <v>83</v>
      </c>
    </row>
    <row r="5" spans="1:8" ht="13.5" thickBot="1">
      <c r="A5" s="86">
        <v>4</v>
      </c>
      <c r="B5" s="97" t="str">
        <f t="shared" si="0"/>
        <v>Cutro</v>
      </c>
      <c r="C5" s="98">
        <v>10541</v>
      </c>
      <c r="D5" s="99">
        <v>133.69</v>
      </c>
      <c r="E5" s="99">
        <v>79</v>
      </c>
      <c r="F5" s="99">
        <v>220</v>
      </c>
      <c r="H5" s="86" t="s">
        <v>84</v>
      </c>
    </row>
    <row r="6" spans="1:8" ht="13.5" thickBot="1">
      <c r="A6" s="86">
        <v>5</v>
      </c>
      <c r="B6" s="97" t="str">
        <f t="shared" si="0"/>
        <v>Petilia Policastro</v>
      </c>
      <c r="C6" s="98">
        <v>9173</v>
      </c>
      <c r="D6" s="99">
        <v>98.35</v>
      </c>
      <c r="E6" s="99">
        <v>93</v>
      </c>
      <c r="F6" s="99">
        <v>436</v>
      </c>
      <c r="H6" s="86" t="s">
        <v>74</v>
      </c>
    </row>
    <row r="7" spans="1:8" ht="13.5" thickBot="1">
      <c r="A7" s="86">
        <v>6</v>
      </c>
      <c r="B7" s="97" t="str">
        <f t="shared" si="0"/>
        <v>Strongoli</v>
      </c>
      <c r="C7" s="98">
        <v>6571</v>
      </c>
      <c r="D7" s="99">
        <v>85.56</v>
      </c>
      <c r="E7" s="99">
        <v>77</v>
      </c>
      <c r="F7" s="99">
        <v>342</v>
      </c>
      <c r="H7" s="86" t="s">
        <v>85</v>
      </c>
    </row>
    <row r="8" spans="1:8" ht="13.5" thickBot="1">
      <c r="A8" s="86">
        <v>7</v>
      </c>
      <c r="B8" s="97" t="str">
        <f t="shared" si="0"/>
        <v>Mesoraca</v>
      </c>
      <c r="C8" s="98">
        <v>6523</v>
      </c>
      <c r="D8" s="99">
        <v>94.79</v>
      </c>
      <c r="E8" s="99">
        <v>69</v>
      </c>
      <c r="F8" s="99">
        <v>415</v>
      </c>
      <c r="H8" s="86" t="s">
        <v>86</v>
      </c>
    </row>
    <row r="9" spans="1:8" ht="13.5" thickBot="1">
      <c r="A9" s="86">
        <v>8</v>
      </c>
      <c r="B9" s="97" t="str">
        <f t="shared" si="0"/>
        <v>Rocca Di Neto</v>
      </c>
      <c r="C9" s="98">
        <v>5687</v>
      </c>
      <c r="D9" s="99">
        <v>44.93</v>
      </c>
      <c r="E9" s="99">
        <v>127</v>
      </c>
      <c r="F9" s="99">
        <v>165</v>
      </c>
      <c r="H9" s="86" t="s">
        <v>108</v>
      </c>
    </row>
    <row r="10" spans="1:8" ht="13.5" thickBot="1">
      <c r="A10" s="86">
        <v>9</v>
      </c>
      <c r="B10" s="97" t="str">
        <f t="shared" si="0"/>
        <v>Cotronei</v>
      </c>
      <c r="C10" s="98">
        <v>5480</v>
      </c>
      <c r="D10" s="99">
        <v>79.2</v>
      </c>
      <c r="E10" s="99">
        <v>69</v>
      </c>
      <c r="F10" s="99">
        <v>502</v>
      </c>
      <c r="H10" s="86" t="s">
        <v>87</v>
      </c>
    </row>
    <row r="11" spans="1:8" ht="13.5" thickBot="1">
      <c r="A11" s="86">
        <v>10</v>
      </c>
      <c r="B11" s="97" t="str">
        <f t="shared" si="0"/>
        <v>Melissa</v>
      </c>
      <c r="C11" s="98">
        <v>3549</v>
      </c>
      <c r="D11" s="99">
        <v>51.63</v>
      </c>
      <c r="E11" s="99">
        <v>69</v>
      </c>
      <c r="F11" s="99">
        <v>256</v>
      </c>
      <c r="H11" s="86" t="s">
        <v>88</v>
      </c>
    </row>
    <row r="12" spans="1:8" ht="13.5" thickBot="1">
      <c r="A12" s="86">
        <v>11</v>
      </c>
      <c r="B12" s="97" t="str">
        <f t="shared" si="0"/>
        <v>Roccabernarda</v>
      </c>
      <c r="C12" s="98">
        <v>3393</v>
      </c>
      <c r="D12" s="99">
        <v>64.89</v>
      </c>
      <c r="E12" s="99">
        <v>52</v>
      </c>
      <c r="F12" s="99">
        <v>180</v>
      </c>
      <c r="H12" s="86" t="s">
        <v>89</v>
      </c>
    </row>
    <row r="13" spans="1:8" ht="13.5" thickBot="1">
      <c r="A13" s="86">
        <v>12</v>
      </c>
      <c r="B13" s="97" t="str">
        <f t="shared" si="0"/>
        <v>Scandale</v>
      </c>
      <c r="C13" s="98">
        <v>3169</v>
      </c>
      <c r="D13" s="99">
        <v>54.26</v>
      </c>
      <c r="E13" s="99">
        <v>58</v>
      </c>
      <c r="F13" s="99">
        <v>350</v>
      </c>
      <c r="H13" s="86" t="s">
        <v>90</v>
      </c>
    </row>
    <row r="14" spans="1:8" ht="13.5" thickBot="1">
      <c r="A14" s="86">
        <v>13</v>
      </c>
      <c r="B14" s="97" t="str">
        <f t="shared" si="0"/>
        <v>Crucoli</v>
      </c>
      <c r="C14" s="98">
        <v>3115</v>
      </c>
      <c r="D14" s="99">
        <v>50.43</v>
      </c>
      <c r="E14" s="99">
        <v>62</v>
      </c>
      <c r="F14" s="99">
        <v>380</v>
      </c>
      <c r="H14" s="86" t="s">
        <v>91</v>
      </c>
    </row>
    <row r="15" spans="1:8" ht="13.5" thickBot="1">
      <c r="A15" s="86">
        <v>14</v>
      </c>
      <c r="B15" s="97" t="str">
        <f t="shared" si="0"/>
        <v>Cirò </v>
      </c>
      <c r="C15" s="98">
        <v>2936</v>
      </c>
      <c r="D15" s="99">
        <v>71.05</v>
      </c>
      <c r="E15" s="99">
        <v>41</v>
      </c>
      <c r="F15" s="99">
        <v>351</v>
      </c>
      <c r="H15" s="86" t="s">
        <v>111</v>
      </c>
    </row>
    <row r="16" spans="1:8" ht="13.5" thickBot="1">
      <c r="A16" s="86">
        <v>15</v>
      </c>
      <c r="B16" s="97" t="str">
        <f t="shared" si="0"/>
        <v>Casabona</v>
      </c>
      <c r="C16" s="98">
        <v>2718</v>
      </c>
      <c r="D16" s="99">
        <v>67.67</v>
      </c>
      <c r="E16" s="99">
        <v>40</v>
      </c>
      <c r="F16" s="99">
        <v>287</v>
      </c>
      <c r="H16" s="86" t="s">
        <v>92</v>
      </c>
    </row>
    <row r="17" spans="1:8" ht="13.5" thickBot="1">
      <c r="A17" s="86">
        <v>16</v>
      </c>
      <c r="B17" s="97" t="str">
        <f t="shared" si="0"/>
        <v>Belvedere Di Spinello</v>
      </c>
      <c r="C17" s="98">
        <v>2297</v>
      </c>
      <c r="D17" s="99">
        <v>30.31</v>
      </c>
      <c r="E17" s="99">
        <v>76</v>
      </c>
      <c r="F17" s="99">
        <v>330</v>
      </c>
      <c r="H17" s="86" t="s">
        <v>109</v>
      </c>
    </row>
    <row r="18" spans="1:8" ht="13.5" thickBot="1">
      <c r="A18" s="86">
        <v>17</v>
      </c>
      <c r="B18" s="97" t="str">
        <f t="shared" si="0"/>
        <v>San Mauro Marchesato</v>
      </c>
      <c r="C18" s="98">
        <v>2157</v>
      </c>
      <c r="D18" s="99">
        <v>41.91</v>
      </c>
      <c r="E18" s="99">
        <v>51</v>
      </c>
      <c r="F18" s="99">
        <v>289</v>
      </c>
      <c r="H18" s="86" t="s">
        <v>93</v>
      </c>
    </row>
    <row r="19" spans="1:8" ht="13.5" thickBot="1">
      <c r="A19" s="86">
        <v>18</v>
      </c>
      <c r="B19" s="97" t="str">
        <f t="shared" si="0"/>
        <v>Santa Severina</v>
      </c>
      <c r="C19" s="98">
        <v>2131</v>
      </c>
      <c r="D19" s="99">
        <v>52.31</v>
      </c>
      <c r="E19" s="99">
        <v>41</v>
      </c>
      <c r="F19" s="99">
        <v>326</v>
      </c>
      <c r="H19" s="86" t="s">
        <v>94</v>
      </c>
    </row>
    <row r="20" spans="1:8" ht="13.5" thickBot="1">
      <c r="A20" s="86">
        <v>19</v>
      </c>
      <c r="B20" s="97" t="str">
        <f t="shared" si="0"/>
        <v>Verzino</v>
      </c>
      <c r="C20" s="98">
        <v>1851</v>
      </c>
      <c r="D20" s="99">
        <v>45.63</v>
      </c>
      <c r="E20" s="99">
        <v>41</v>
      </c>
      <c r="F20" s="99">
        <v>549</v>
      </c>
      <c r="H20" s="86" t="s">
        <v>95</v>
      </c>
    </row>
    <row r="21" spans="1:8" ht="13.5" thickBot="1">
      <c r="A21" s="86">
        <v>20</v>
      </c>
      <c r="B21" s="97" t="str">
        <f t="shared" si="0"/>
        <v>Caccuri</v>
      </c>
      <c r="C21" s="98">
        <v>1663</v>
      </c>
      <c r="D21" s="99">
        <v>61.38</v>
      </c>
      <c r="E21" s="99">
        <v>27</v>
      </c>
      <c r="F21" s="99">
        <v>646</v>
      </c>
      <c r="H21" s="86" t="s">
        <v>96</v>
      </c>
    </row>
    <row r="22" spans="1:8" ht="13.5" thickBot="1">
      <c r="A22" s="86">
        <v>21</v>
      </c>
      <c r="B22" s="97" t="str">
        <f t="shared" si="0"/>
        <v>Savelli</v>
      </c>
      <c r="C22" s="98">
        <v>1271</v>
      </c>
      <c r="D22" s="99">
        <v>48.92</v>
      </c>
      <c r="E22" s="99">
        <v>26</v>
      </c>
      <c r="F22" s="100">
        <v>1014</v>
      </c>
      <c r="H22" s="86" t="s">
        <v>97</v>
      </c>
    </row>
    <row r="23" spans="1:8" ht="13.5" thickBot="1">
      <c r="A23" s="86">
        <v>22</v>
      </c>
      <c r="B23" s="97" t="str">
        <f t="shared" si="0"/>
        <v>Pallagorio</v>
      </c>
      <c r="C23" s="98">
        <v>1217</v>
      </c>
      <c r="D23" s="99">
        <v>44.48</v>
      </c>
      <c r="E23" s="99">
        <v>27</v>
      </c>
      <c r="F23" s="99">
        <v>554</v>
      </c>
      <c r="H23" s="86" t="s">
        <v>98</v>
      </c>
    </row>
    <row r="24" spans="1:8" ht="13.5" thickBot="1">
      <c r="A24" s="86">
        <v>23</v>
      </c>
      <c r="B24" s="97" t="str">
        <f t="shared" si="0"/>
        <v>Cerenzia</v>
      </c>
      <c r="C24" s="98">
        <v>1152</v>
      </c>
      <c r="D24" s="99">
        <v>21.97</v>
      </c>
      <c r="E24" s="99">
        <v>52</v>
      </c>
      <c r="F24" s="99">
        <v>664</v>
      </c>
      <c r="H24" s="86" t="s">
        <v>99</v>
      </c>
    </row>
    <row r="25" spans="1:8" ht="13.5" thickBot="1">
      <c r="A25" s="86">
        <v>24</v>
      </c>
      <c r="B25" s="97" t="str">
        <f t="shared" si="0"/>
        <v>Castelsilano</v>
      </c>
      <c r="C25" s="98">
        <v>1015</v>
      </c>
      <c r="D25" s="99">
        <v>40.06</v>
      </c>
      <c r="E25" s="99">
        <v>25</v>
      </c>
      <c r="F25" s="99">
        <v>900</v>
      </c>
      <c r="H25" s="86" t="s">
        <v>100</v>
      </c>
    </row>
    <row r="26" spans="1:8" ht="13.5" thickBot="1">
      <c r="A26" s="86">
        <v>25</v>
      </c>
      <c r="B26" s="97" t="str">
        <f t="shared" si="0"/>
        <v>Umbriatico</v>
      </c>
      <c r="C26" s="101">
        <v>863</v>
      </c>
      <c r="D26" s="99">
        <v>73.36</v>
      </c>
      <c r="E26" s="99">
        <v>12</v>
      </c>
      <c r="F26" s="99">
        <v>422</v>
      </c>
      <c r="H26" s="86" t="s">
        <v>101</v>
      </c>
    </row>
    <row r="27" spans="1:8" ht="13.5" thickBot="1">
      <c r="A27" s="86">
        <v>26</v>
      </c>
      <c r="B27" s="97" t="str">
        <f t="shared" si="0"/>
        <v>San Nicola Dell'Alto</v>
      </c>
      <c r="C27" s="101">
        <v>856</v>
      </c>
      <c r="D27" s="99">
        <v>7.85</v>
      </c>
      <c r="E27" s="99">
        <v>109</v>
      </c>
      <c r="F27" s="99">
        <v>579</v>
      </c>
      <c r="H27" s="86" t="s">
        <v>110</v>
      </c>
    </row>
    <row r="28" spans="1:8" ht="13.5" thickBot="1">
      <c r="A28" s="86">
        <v>27</v>
      </c>
      <c r="B28" s="97" t="str">
        <f t="shared" si="0"/>
        <v>Carfizzi</v>
      </c>
      <c r="C28" s="101">
        <v>661</v>
      </c>
      <c r="D28" s="99">
        <v>20.73</v>
      </c>
      <c r="E28" s="99">
        <v>32</v>
      </c>
      <c r="F28" s="99">
        <v>512</v>
      </c>
      <c r="H28" s="86" t="s">
        <v>102</v>
      </c>
    </row>
  </sheetData>
  <sheetProtection password="CE60" sheet="1" objects="1" scenarios="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27" sqref="B27"/>
    </sheetView>
  </sheetViews>
  <sheetFormatPr defaultColWidth="9.140625" defaultRowHeight="15"/>
  <cols>
    <col min="1" max="1" width="26.00390625" style="86" customWidth="1"/>
    <col min="2" max="2" width="9.8515625" style="86" customWidth="1"/>
    <col min="3" max="4" width="12.7109375" style="86" customWidth="1"/>
    <col min="5" max="5" width="8.8515625" style="86" customWidth="1"/>
    <col min="6" max="6" width="11.57421875" style="86" customWidth="1"/>
    <col min="7" max="7" width="6.8515625" style="86" customWidth="1"/>
    <col min="8" max="8" width="8.28125" style="86" customWidth="1"/>
    <col min="9" max="9" width="8.57421875" style="86" customWidth="1"/>
    <col min="10" max="10" width="10.00390625" style="86" customWidth="1"/>
    <col min="11" max="11" width="9.7109375" style="86" customWidth="1"/>
    <col min="12" max="16384" width="9.140625" style="86" customWidth="1"/>
  </cols>
  <sheetData>
    <row r="1" spans="1:11" ht="12.75">
      <c r="A1" s="102" t="s">
        <v>144</v>
      </c>
      <c r="B1" s="102" t="s">
        <v>22</v>
      </c>
      <c r="C1" s="102" t="s">
        <v>146</v>
      </c>
      <c r="D1" s="102" t="s">
        <v>153</v>
      </c>
      <c r="E1" s="102" t="s">
        <v>145</v>
      </c>
      <c r="F1" s="102" t="s">
        <v>147</v>
      </c>
      <c r="G1" s="102" t="s">
        <v>148</v>
      </c>
      <c r="H1" s="102" t="s">
        <v>149</v>
      </c>
      <c r="I1" s="102" t="s">
        <v>31</v>
      </c>
      <c r="J1" s="102" t="s">
        <v>150</v>
      </c>
      <c r="K1" s="102" t="s">
        <v>151</v>
      </c>
    </row>
    <row r="2" ht="12.75">
      <c r="A2" s="86" t="s">
        <v>152</v>
      </c>
    </row>
    <row r="3" spans="1:11" ht="12.75">
      <c r="A3" s="102" t="s">
        <v>117</v>
      </c>
      <c r="B3" s="102">
        <v>1816</v>
      </c>
      <c r="C3" s="102">
        <v>880</v>
      </c>
      <c r="D3" s="102">
        <f>B3-C3</f>
        <v>936</v>
      </c>
      <c r="E3" s="102">
        <v>737</v>
      </c>
      <c r="F3" s="102">
        <v>404</v>
      </c>
      <c r="G3" s="102">
        <v>205</v>
      </c>
      <c r="H3" s="102">
        <v>525</v>
      </c>
      <c r="I3" s="102">
        <v>1</v>
      </c>
      <c r="J3" s="102">
        <v>6</v>
      </c>
      <c r="K3" s="102">
        <v>0</v>
      </c>
    </row>
    <row r="4" spans="1:11" ht="12.75">
      <c r="A4" s="102" t="s">
        <v>118</v>
      </c>
      <c r="B4" s="102">
        <v>1350</v>
      </c>
      <c r="C4" s="102">
        <v>653</v>
      </c>
      <c r="D4" s="102">
        <f aca="true" t="shared" si="0" ref="D4:D29">B4-C4</f>
        <v>697</v>
      </c>
      <c r="E4" s="102">
        <v>831</v>
      </c>
      <c r="F4" s="102">
        <v>425</v>
      </c>
      <c r="G4" s="102">
        <v>280</v>
      </c>
      <c r="H4" s="102">
        <v>547</v>
      </c>
      <c r="I4" s="102">
        <v>1</v>
      </c>
      <c r="J4" s="102">
        <v>3</v>
      </c>
      <c r="K4" s="102">
        <v>0</v>
      </c>
    </row>
    <row r="5" spans="1:11" ht="12.75">
      <c r="A5" s="102" t="s">
        <v>119</v>
      </c>
      <c r="B5" s="102">
        <v>562</v>
      </c>
      <c r="C5" s="102">
        <v>262</v>
      </c>
      <c r="D5" s="102">
        <f t="shared" si="0"/>
        <v>300</v>
      </c>
      <c r="E5" s="102">
        <v>303</v>
      </c>
      <c r="F5" s="102">
        <v>155</v>
      </c>
      <c r="G5" s="102">
        <v>193</v>
      </c>
      <c r="H5" s="102">
        <v>107</v>
      </c>
      <c r="I5" s="102">
        <v>2</v>
      </c>
      <c r="J5" s="102">
        <v>1</v>
      </c>
      <c r="K5" s="102">
        <v>0</v>
      </c>
    </row>
    <row r="6" spans="1:11" ht="12.75">
      <c r="A6" s="102" t="s">
        <v>120</v>
      </c>
      <c r="B6" s="102">
        <v>2162</v>
      </c>
      <c r="C6" s="102">
        <v>1014</v>
      </c>
      <c r="D6" s="102">
        <f t="shared" si="0"/>
        <v>1148</v>
      </c>
      <c r="E6" s="102">
        <v>1016</v>
      </c>
      <c r="F6" s="102">
        <v>551</v>
      </c>
      <c r="G6" s="102">
        <v>413</v>
      </c>
      <c r="H6" s="102">
        <v>581</v>
      </c>
      <c r="I6" s="102">
        <v>11</v>
      </c>
      <c r="J6" s="102">
        <v>11</v>
      </c>
      <c r="K6" s="102">
        <v>0</v>
      </c>
    </row>
    <row r="7" spans="1:11" ht="12.75">
      <c r="A7" s="102" t="s">
        <v>121</v>
      </c>
      <c r="B7" s="102">
        <v>848</v>
      </c>
      <c r="C7" s="102">
        <v>412</v>
      </c>
      <c r="D7" s="102">
        <f t="shared" si="0"/>
        <v>436</v>
      </c>
      <c r="E7" s="102">
        <v>465</v>
      </c>
      <c r="F7" s="102">
        <v>238</v>
      </c>
      <c r="G7" s="102">
        <v>198</v>
      </c>
      <c r="H7" s="102">
        <v>259</v>
      </c>
      <c r="I7" s="102">
        <v>1</v>
      </c>
      <c r="J7" s="102">
        <v>7</v>
      </c>
      <c r="K7" s="102">
        <v>0</v>
      </c>
    </row>
    <row r="8" spans="1:11" ht="12.75">
      <c r="A8" s="102" t="s">
        <v>122</v>
      </c>
      <c r="B8" s="102">
        <v>990</v>
      </c>
      <c r="C8" s="102">
        <v>477</v>
      </c>
      <c r="D8" s="102">
        <f t="shared" si="0"/>
        <v>513</v>
      </c>
      <c r="E8" s="102">
        <v>579</v>
      </c>
      <c r="F8" s="102">
        <v>306</v>
      </c>
      <c r="G8" s="102">
        <v>224</v>
      </c>
      <c r="H8" s="102">
        <v>348</v>
      </c>
      <c r="I8" s="102">
        <v>3</v>
      </c>
      <c r="J8" s="102">
        <v>4</v>
      </c>
      <c r="K8" s="102">
        <v>0</v>
      </c>
    </row>
    <row r="9" spans="1:11" ht="12.75">
      <c r="A9" s="102" t="s">
        <v>123</v>
      </c>
      <c r="B9" s="102">
        <v>2383</v>
      </c>
      <c r="C9" s="102">
        <v>1130</v>
      </c>
      <c r="D9" s="102">
        <f t="shared" si="0"/>
        <v>1253</v>
      </c>
      <c r="E9" s="102">
        <v>938</v>
      </c>
      <c r="F9" s="102">
        <v>506</v>
      </c>
      <c r="G9" s="102">
        <v>442</v>
      </c>
      <c r="H9" s="102">
        <v>486</v>
      </c>
      <c r="I9" s="102">
        <v>4</v>
      </c>
      <c r="J9" s="102">
        <v>6</v>
      </c>
      <c r="K9" s="102">
        <v>0</v>
      </c>
    </row>
    <row r="10" spans="1:11" ht="12.75">
      <c r="A10" s="102" t="s">
        <v>124</v>
      </c>
      <c r="B10" s="103">
        <v>11128</v>
      </c>
      <c r="C10" s="102">
        <v>5406</v>
      </c>
      <c r="D10" s="102">
        <f t="shared" si="0"/>
        <v>5722</v>
      </c>
      <c r="E10" s="102">
        <v>4517</v>
      </c>
      <c r="F10" s="102">
        <v>2435</v>
      </c>
      <c r="G10" s="102">
        <v>1592</v>
      </c>
      <c r="H10" s="102">
        <v>2899</v>
      </c>
      <c r="I10" s="102">
        <v>6</v>
      </c>
      <c r="J10" s="102">
        <v>20</v>
      </c>
      <c r="K10" s="102">
        <v>0</v>
      </c>
    </row>
    <row r="11" spans="1:11" ht="12.75">
      <c r="A11" s="102" t="s">
        <v>125</v>
      </c>
      <c r="B11" s="102">
        <v>4290</v>
      </c>
      <c r="C11" s="102">
        <v>2062</v>
      </c>
      <c r="D11" s="102">
        <f t="shared" si="0"/>
        <v>2228</v>
      </c>
      <c r="E11" s="102">
        <v>2089</v>
      </c>
      <c r="F11" s="102">
        <v>1134</v>
      </c>
      <c r="G11" s="102">
        <v>675</v>
      </c>
      <c r="H11" s="102">
        <v>1396</v>
      </c>
      <c r="I11" s="102">
        <v>3</v>
      </c>
      <c r="J11" s="102">
        <v>15</v>
      </c>
      <c r="K11" s="102">
        <v>0</v>
      </c>
    </row>
    <row r="12" spans="1:11" ht="12.75">
      <c r="A12" s="102" t="s">
        <v>126</v>
      </c>
      <c r="B12" s="103">
        <v>47455</v>
      </c>
      <c r="C12" s="102">
        <v>22783</v>
      </c>
      <c r="D12" s="102">
        <f t="shared" si="0"/>
        <v>24672</v>
      </c>
      <c r="E12" s="102">
        <v>24350</v>
      </c>
      <c r="F12" s="102">
        <v>12451</v>
      </c>
      <c r="G12" s="102">
        <v>6825</v>
      </c>
      <c r="H12" s="102">
        <v>17412</v>
      </c>
      <c r="I12" s="102">
        <v>18</v>
      </c>
      <c r="J12" s="102">
        <v>95</v>
      </c>
      <c r="K12" s="102">
        <v>0</v>
      </c>
    </row>
    <row r="13" spans="1:11" ht="12.75">
      <c r="A13" s="102" t="s">
        <v>127</v>
      </c>
      <c r="B13" s="102">
        <v>2458</v>
      </c>
      <c r="C13" s="102">
        <v>1181</v>
      </c>
      <c r="D13" s="102">
        <f t="shared" si="0"/>
        <v>1277</v>
      </c>
      <c r="E13" s="102">
        <v>1434</v>
      </c>
      <c r="F13" s="102">
        <v>742</v>
      </c>
      <c r="G13" s="102">
        <v>610</v>
      </c>
      <c r="H13" s="102">
        <v>816</v>
      </c>
      <c r="I13" s="102">
        <v>6</v>
      </c>
      <c r="J13" s="102">
        <v>2</v>
      </c>
      <c r="K13" s="102">
        <v>0</v>
      </c>
    </row>
    <row r="14" spans="1:11" ht="12.75">
      <c r="A14" s="102" t="s">
        <v>128</v>
      </c>
      <c r="B14" s="102">
        <v>7988</v>
      </c>
      <c r="C14" s="102">
        <v>3891</v>
      </c>
      <c r="D14" s="102">
        <f t="shared" si="0"/>
        <v>4097</v>
      </c>
      <c r="E14" s="102">
        <v>3540</v>
      </c>
      <c r="F14" s="102">
        <v>1940</v>
      </c>
      <c r="G14" s="102">
        <v>1247</v>
      </c>
      <c r="H14" s="102">
        <v>2272</v>
      </c>
      <c r="I14" s="102">
        <v>6</v>
      </c>
      <c r="J14" s="102">
        <v>15</v>
      </c>
      <c r="K14" s="102">
        <v>0</v>
      </c>
    </row>
    <row r="15" spans="1:11" ht="12.75">
      <c r="A15" s="102" t="s">
        <v>129</v>
      </c>
      <c r="B15" s="103">
        <v>11756</v>
      </c>
      <c r="C15" s="102">
        <v>5787</v>
      </c>
      <c r="D15" s="102">
        <f t="shared" si="0"/>
        <v>5969</v>
      </c>
      <c r="E15" s="102">
        <v>5352</v>
      </c>
      <c r="F15" s="102">
        <v>2873</v>
      </c>
      <c r="G15" s="102">
        <v>1130</v>
      </c>
      <c r="H15" s="102">
        <v>4171</v>
      </c>
      <c r="I15" s="102">
        <v>14</v>
      </c>
      <c r="J15" s="102">
        <v>37</v>
      </c>
      <c r="K15" s="102">
        <v>0</v>
      </c>
    </row>
    <row r="16" spans="1:11" ht="12.75">
      <c r="A16" s="102" t="s">
        <v>130</v>
      </c>
      <c r="B16" s="102">
        <v>2693</v>
      </c>
      <c r="C16" s="102">
        <v>1319</v>
      </c>
      <c r="D16" s="102">
        <f t="shared" si="0"/>
        <v>1374</v>
      </c>
      <c r="E16" s="102">
        <v>1374</v>
      </c>
      <c r="F16" s="102">
        <v>743</v>
      </c>
      <c r="G16" s="102">
        <v>609</v>
      </c>
      <c r="H16" s="102">
        <v>757</v>
      </c>
      <c r="I16" s="102">
        <v>5</v>
      </c>
      <c r="J16" s="102">
        <v>3</v>
      </c>
      <c r="K16" s="102">
        <v>0</v>
      </c>
    </row>
    <row r="17" spans="1:11" ht="12.75">
      <c r="A17" s="102" t="s">
        <v>131</v>
      </c>
      <c r="B17" s="102">
        <v>4992</v>
      </c>
      <c r="C17" s="102">
        <v>2377</v>
      </c>
      <c r="D17" s="102">
        <f t="shared" si="0"/>
        <v>2615</v>
      </c>
      <c r="E17" s="102">
        <v>2140</v>
      </c>
      <c r="F17" s="102">
        <v>1154</v>
      </c>
      <c r="G17" s="102">
        <v>889</v>
      </c>
      <c r="H17" s="102">
        <v>1238</v>
      </c>
      <c r="I17" s="102">
        <v>7</v>
      </c>
      <c r="J17" s="102">
        <v>6</v>
      </c>
      <c r="K17" s="102">
        <v>0</v>
      </c>
    </row>
    <row r="18" spans="1:11" ht="12.75">
      <c r="A18" s="102" t="s">
        <v>132</v>
      </c>
      <c r="B18" s="102">
        <v>1061</v>
      </c>
      <c r="C18" s="102">
        <v>512</v>
      </c>
      <c r="D18" s="102">
        <f t="shared" si="0"/>
        <v>549</v>
      </c>
      <c r="E18" s="102">
        <v>577</v>
      </c>
      <c r="F18" s="102">
        <v>309</v>
      </c>
      <c r="G18" s="102">
        <v>279</v>
      </c>
      <c r="H18" s="102">
        <v>286</v>
      </c>
      <c r="I18" s="102">
        <v>4</v>
      </c>
      <c r="J18" s="102">
        <v>8</v>
      </c>
      <c r="K18" s="102">
        <v>0</v>
      </c>
    </row>
    <row r="19" spans="1:11" ht="12.75">
      <c r="A19" s="102" t="s">
        <v>133</v>
      </c>
      <c r="B19" s="102">
        <v>7134</v>
      </c>
      <c r="C19" s="102">
        <v>3490</v>
      </c>
      <c r="D19" s="102">
        <f t="shared" si="0"/>
        <v>3644</v>
      </c>
      <c r="E19" s="102">
        <v>3313</v>
      </c>
      <c r="F19" s="102">
        <v>1732</v>
      </c>
      <c r="G19" s="102">
        <v>1014</v>
      </c>
      <c r="H19" s="102">
        <v>2263</v>
      </c>
      <c r="I19" s="102">
        <v>9</v>
      </c>
      <c r="J19" s="102">
        <v>27</v>
      </c>
      <c r="K19" s="102">
        <v>0</v>
      </c>
    </row>
    <row r="20" spans="1:11" ht="12.75">
      <c r="A20" s="102" t="s">
        <v>134</v>
      </c>
      <c r="B20" s="102">
        <v>4307</v>
      </c>
      <c r="C20" s="102">
        <v>2104</v>
      </c>
      <c r="D20" s="102">
        <f t="shared" si="0"/>
        <v>2203</v>
      </c>
      <c r="E20" s="102">
        <v>1800</v>
      </c>
      <c r="F20" s="102">
        <v>1000</v>
      </c>
      <c r="G20" s="102">
        <v>619</v>
      </c>
      <c r="H20" s="102">
        <v>1170</v>
      </c>
      <c r="I20" s="102">
        <v>5</v>
      </c>
      <c r="J20" s="102">
        <v>6</v>
      </c>
      <c r="K20" s="102">
        <v>0</v>
      </c>
    </row>
    <row r="21" spans="1:11" ht="12.75">
      <c r="A21" s="102" t="s">
        <v>135</v>
      </c>
      <c r="B21" s="102">
        <v>2675</v>
      </c>
      <c r="C21" s="102">
        <v>1314</v>
      </c>
      <c r="D21" s="102">
        <f t="shared" si="0"/>
        <v>1361</v>
      </c>
      <c r="E21" s="102">
        <v>1109</v>
      </c>
      <c r="F21" s="102">
        <v>618</v>
      </c>
      <c r="G21" s="102">
        <v>413</v>
      </c>
      <c r="H21" s="102">
        <v>688</v>
      </c>
      <c r="I21" s="102">
        <v>3</v>
      </c>
      <c r="J21" s="102">
        <v>5</v>
      </c>
      <c r="K21" s="102">
        <v>0</v>
      </c>
    </row>
    <row r="22" spans="1:11" ht="12.75">
      <c r="A22" s="102" t="s">
        <v>136</v>
      </c>
      <c r="B22" s="102">
        <v>1721</v>
      </c>
      <c r="C22" s="102">
        <v>845</v>
      </c>
      <c r="D22" s="102">
        <f t="shared" si="0"/>
        <v>876</v>
      </c>
      <c r="E22" s="102">
        <v>896</v>
      </c>
      <c r="F22" s="102">
        <v>495</v>
      </c>
      <c r="G22" s="102">
        <v>274</v>
      </c>
      <c r="H22" s="102">
        <v>601</v>
      </c>
      <c r="I22" s="102">
        <v>2</v>
      </c>
      <c r="J22" s="102">
        <v>19</v>
      </c>
      <c r="K22" s="102">
        <v>0</v>
      </c>
    </row>
    <row r="23" spans="1:11" ht="12.75">
      <c r="A23" s="102" t="s">
        <v>137</v>
      </c>
      <c r="B23" s="102">
        <v>715</v>
      </c>
      <c r="C23" s="102">
        <v>336</v>
      </c>
      <c r="D23" s="102">
        <f t="shared" si="0"/>
        <v>379</v>
      </c>
      <c r="E23" s="102">
        <v>322</v>
      </c>
      <c r="F23" s="102">
        <v>186</v>
      </c>
      <c r="G23" s="102">
        <v>126</v>
      </c>
      <c r="H23" s="102">
        <v>194</v>
      </c>
      <c r="I23" s="102">
        <v>0</v>
      </c>
      <c r="J23" s="102">
        <v>2</v>
      </c>
      <c r="K23" s="102">
        <v>0</v>
      </c>
    </row>
    <row r="24" spans="1:11" ht="12.75">
      <c r="A24" s="102" t="s">
        <v>138</v>
      </c>
      <c r="B24" s="102">
        <v>1707</v>
      </c>
      <c r="C24" s="102">
        <v>835</v>
      </c>
      <c r="D24" s="102">
        <f t="shared" si="0"/>
        <v>872</v>
      </c>
      <c r="E24" s="102">
        <v>901</v>
      </c>
      <c r="F24" s="102">
        <v>489</v>
      </c>
      <c r="G24" s="102">
        <v>339</v>
      </c>
      <c r="H24" s="102">
        <v>555</v>
      </c>
      <c r="I24" s="102">
        <v>1</v>
      </c>
      <c r="J24" s="102">
        <v>6</v>
      </c>
      <c r="K24" s="102">
        <v>0</v>
      </c>
    </row>
    <row r="25" spans="1:11" ht="12.75">
      <c r="A25" s="102" t="s">
        <v>139</v>
      </c>
      <c r="B25" s="102">
        <v>1082</v>
      </c>
      <c r="C25" s="102">
        <v>517</v>
      </c>
      <c r="D25" s="102">
        <f t="shared" si="0"/>
        <v>565</v>
      </c>
      <c r="E25" s="102">
        <v>545</v>
      </c>
      <c r="F25" s="102">
        <v>282</v>
      </c>
      <c r="G25" s="102">
        <v>292</v>
      </c>
      <c r="H25" s="102">
        <v>247</v>
      </c>
      <c r="I25" s="102">
        <v>2</v>
      </c>
      <c r="J25" s="102">
        <v>4</v>
      </c>
      <c r="K25" s="102">
        <v>0</v>
      </c>
    </row>
    <row r="26" spans="1:11" ht="12.75">
      <c r="A26" s="102" t="s">
        <v>140</v>
      </c>
      <c r="B26" s="102">
        <v>2479</v>
      </c>
      <c r="C26" s="102">
        <v>1202</v>
      </c>
      <c r="D26" s="102">
        <f t="shared" si="0"/>
        <v>1277</v>
      </c>
      <c r="E26" s="102">
        <v>1125</v>
      </c>
      <c r="F26" s="102">
        <v>590</v>
      </c>
      <c r="G26" s="102">
        <v>372</v>
      </c>
      <c r="H26" s="102">
        <v>740</v>
      </c>
      <c r="I26" s="102">
        <v>5</v>
      </c>
      <c r="J26" s="102">
        <v>8</v>
      </c>
      <c r="K26" s="102">
        <v>0</v>
      </c>
    </row>
    <row r="27" spans="1:11" ht="12.75">
      <c r="A27" s="102" t="s">
        <v>141</v>
      </c>
      <c r="B27" s="102">
        <v>5134</v>
      </c>
      <c r="C27" s="102">
        <v>2481</v>
      </c>
      <c r="D27" s="102">
        <f t="shared" si="0"/>
        <v>2653</v>
      </c>
      <c r="E27" s="102">
        <v>2386</v>
      </c>
      <c r="F27" s="102">
        <v>1308</v>
      </c>
      <c r="G27" s="102">
        <v>748</v>
      </c>
      <c r="H27" s="102">
        <v>1618</v>
      </c>
      <c r="I27" s="102">
        <v>5</v>
      </c>
      <c r="J27" s="102">
        <v>15</v>
      </c>
      <c r="K27" s="102">
        <v>0</v>
      </c>
    </row>
    <row r="28" spans="1:11" ht="12.75">
      <c r="A28" s="102" t="s">
        <v>142</v>
      </c>
      <c r="B28" s="102">
        <v>712</v>
      </c>
      <c r="C28" s="102">
        <v>360</v>
      </c>
      <c r="D28" s="102">
        <f t="shared" si="0"/>
        <v>352</v>
      </c>
      <c r="E28" s="102">
        <v>298</v>
      </c>
      <c r="F28" s="102">
        <v>163</v>
      </c>
      <c r="G28" s="102">
        <v>106</v>
      </c>
      <c r="H28" s="102">
        <v>185</v>
      </c>
      <c r="I28" s="102">
        <v>4</v>
      </c>
      <c r="J28" s="102">
        <v>3</v>
      </c>
      <c r="K28" s="102">
        <v>0</v>
      </c>
    </row>
    <row r="29" spans="1:11" ht="12.75">
      <c r="A29" s="102" t="s">
        <v>143</v>
      </c>
      <c r="B29" s="102">
        <v>1535</v>
      </c>
      <c r="C29" s="102">
        <v>729</v>
      </c>
      <c r="D29" s="102">
        <f t="shared" si="0"/>
        <v>806</v>
      </c>
      <c r="E29" s="102">
        <v>720</v>
      </c>
      <c r="F29" s="102">
        <v>363</v>
      </c>
      <c r="G29" s="102">
        <v>229</v>
      </c>
      <c r="H29" s="102">
        <v>481</v>
      </c>
      <c r="I29" s="102">
        <v>4</v>
      </c>
      <c r="J29" s="102">
        <v>6</v>
      </c>
      <c r="K29" s="102">
        <v>0</v>
      </c>
    </row>
    <row r="30" spans="1:11" ht="12.75">
      <c r="A30" s="104" t="s">
        <v>9</v>
      </c>
      <c r="B30" s="105">
        <f>SUM(B3:B29)</f>
        <v>133133</v>
      </c>
      <c r="C30" s="105">
        <f aca="true" t="shared" si="1" ref="C30:K30">SUM(C3:C29)</f>
        <v>64359</v>
      </c>
      <c r="D30" s="105">
        <f t="shared" si="1"/>
        <v>68774</v>
      </c>
      <c r="E30" s="105">
        <f t="shared" si="1"/>
        <v>63657</v>
      </c>
      <c r="F30" s="105">
        <f t="shared" si="1"/>
        <v>33592</v>
      </c>
      <c r="G30" s="105">
        <f t="shared" si="1"/>
        <v>20343</v>
      </c>
      <c r="H30" s="105">
        <f t="shared" si="1"/>
        <v>42842</v>
      </c>
      <c r="I30" s="105">
        <f t="shared" si="1"/>
        <v>132</v>
      </c>
      <c r="J30" s="105">
        <f t="shared" si="1"/>
        <v>340</v>
      </c>
      <c r="K30" s="105">
        <f t="shared" si="1"/>
        <v>0</v>
      </c>
    </row>
    <row r="31" spans="7:8" ht="12.75">
      <c r="G31" s="86" t="s">
        <v>154</v>
      </c>
      <c r="H31" s="86" t="s">
        <v>154</v>
      </c>
    </row>
  </sheetData>
  <sheetProtection password="CE60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admin</cp:lastModifiedBy>
  <cp:lastPrinted>2019-06-07T14:16:03Z</cp:lastPrinted>
  <dcterms:created xsi:type="dcterms:W3CDTF">2016-04-19T08:10:31Z</dcterms:created>
  <dcterms:modified xsi:type="dcterms:W3CDTF">2019-06-07T14:27:08Z</dcterms:modified>
  <cp:category/>
  <cp:version/>
  <cp:contentType/>
  <cp:contentStatus/>
</cp:coreProperties>
</file>