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15" windowWidth="13125" windowHeight="8580" tabRatio="754" activeTab="0"/>
  </bookViews>
  <sheets>
    <sheet name="Istruzioni" sheetId="1" r:id="rId1"/>
    <sheet name="Buonuscita" sheetId="2" r:id="rId2"/>
    <sheet name="Stipendi" sheetId="3" state="hidden" r:id="rId3"/>
    <sheet name="Rate" sheetId="4" r:id="rId4"/>
    <sheet name="Servizi" sheetId="5" r:id="rId5"/>
    <sheet name="Riscatti" sheetId="6" r:id="rId6"/>
  </sheets>
  <externalReferences>
    <externalReference r:id="rId9"/>
  </externalReferences>
  <definedNames>
    <definedName name="_xlnm.Print_Area" localSheetId="1">'Buonuscita'!$H$122:$M$174</definedName>
    <definedName name="_xlnm.Print_Area" localSheetId="3">'Rate'!$C$80:$H$105</definedName>
    <definedName name="_xlnm.Print_Area" localSheetId="5">'Riscatti'!$H$116:$M$158</definedName>
  </definedNames>
  <calcPr fullCalcOnLoad="1"/>
</workbook>
</file>

<file path=xl/comments2.xml><?xml version="1.0" encoding="utf-8"?>
<comments xmlns="http://schemas.openxmlformats.org/spreadsheetml/2006/main">
  <authors>
    <author>Napoli</author>
    <author>NAPOLI</author>
    <author>Michele Napoli</author>
    <author>Michele</author>
  </authors>
  <commentList>
    <comment ref="B20" authorId="0">
      <text>
        <r>
          <rPr>
            <sz val="8"/>
            <rFont val="Tahoma"/>
            <family val="2"/>
          </rPr>
          <t xml:space="preserve">Devono inserire questo dato coloro ai quali viene trattenuto un importo per riscatto di periodi ai fini della buonuscita.
</t>
        </r>
        <r>
          <rPr>
            <sz val="8"/>
            <color indexed="10"/>
            <rFont val="Tahoma"/>
            <family val="2"/>
          </rPr>
          <t>L'importo trattenuto è deducibile dai redditi con la dichiarazione dell'anno successivo.</t>
        </r>
      </text>
    </comment>
    <comment ref="A26" authorId="0">
      <text>
        <r>
          <rPr>
            <sz val="8"/>
            <rFont val="Tahoma"/>
            <family val="2"/>
          </rPr>
          <t xml:space="preserve">La frazione di mese, anche di un solo giorno, si arrotonda a mese intero.
</t>
        </r>
      </text>
    </comment>
    <comment ref="A27" authorId="0">
      <text>
        <r>
          <rPr>
            <sz val="8"/>
            <rFont val="Tahoma"/>
            <family val="2"/>
          </rPr>
          <t xml:space="preserve">La frazione di mese, anche di un solo giorno, si arrotonda a mese intero
</t>
        </r>
      </text>
    </comment>
    <comment ref="N57" authorId="0">
      <text>
        <r>
          <rPr>
            <sz val="8"/>
            <rFont val="Tahoma"/>
            <family val="2"/>
          </rPr>
          <t xml:space="preserve">Per calcolo aliquota Irpef
</t>
        </r>
      </text>
    </comment>
    <comment ref="N44" authorId="0">
      <text>
        <r>
          <rPr>
            <sz val="8"/>
            <rFont val="Tahoma"/>
            <family val="2"/>
          </rPr>
          <t xml:space="preserve">Per escludere beneficio legge 336 dall'imponibile della quota del 26,04% non tassabile
</t>
        </r>
      </text>
    </comment>
    <comment ref="B22" authorId="0">
      <text>
        <r>
          <rPr>
            <sz val="8"/>
            <rFont val="Tahoma"/>
            <family val="2"/>
          </rPr>
          <t xml:space="preserve">Il beneficio è pari al 7,50% dello stipendio annuo lordo tabellare in godimento alla cessazione, comprensivo di eventuale assegno ad personam o RIA.
</t>
        </r>
      </text>
    </comment>
    <comment ref="O51" authorId="1">
      <text>
        <r>
          <rPr>
            <sz val="8"/>
            <rFont val="Tahoma"/>
            <family val="2"/>
          </rPr>
          <t xml:space="preserve">Anzianità senza riscatti
</t>
        </r>
      </text>
    </comment>
    <comment ref="N9" authorId="2">
      <text>
        <r>
          <rPr>
            <b/>
            <sz val="8"/>
            <rFont val="Tahoma"/>
            <family val="2"/>
          </rPr>
          <t xml:space="preserve">L'aumento legge 336 ha effetti anche sulla tredicesima.
</t>
        </r>
        <r>
          <rPr>
            <sz val="8"/>
            <rFont val="Tahoma"/>
            <family val="2"/>
          </rPr>
          <t xml:space="preserve">
</t>
        </r>
      </text>
    </comment>
    <comment ref="A16" authorId="2">
      <text>
        <r>
          <rPr>
            <sz val="8"/>
            <rFont val="Tahoma"/>
            <family val="2"/>
          </rPr>
          <t>Gli altri assegni del cedolino dello stipendio con trattenuta OPERA DI PREV.  quali:
- assegno ad personam
- RIA corrisposta ai DS in servizio al 31/12/2000
- valorizzazione professionale ATA</t>
        </r>
      </text>
    </comment>
    <comment ref="M11" authorId="3">
      <text>
        <r>
          <rPr>
            <b/>
            <sz val="9"/>
            <rFont val="Tahoma"/>
            <family val="2"/>
          </rPr>
          <t xml:space="preserve">Se la retribuzione utile calcolata dall'INPS è differente, inserirla in N11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Michele Napoli</author>
  </authors>
  <commentList>
    <comment ref="B17" authorId="0">
      <text>
        <r>
          <rPr>
            <b/>
            <sz val="8"/>
            <rFont val="Tahoma"/>
            <family val="2"/>
          </rPr>
          <t>Inserire l'importo se la domanda è stata presentata dopo il 30 novembre 1994.</t>
        </r>
        <r>
          <rPr>
            <sz val="8"/>
            <rFont val="Tahoma"/>
            <family val="2"/>
          </rPr>
          <t xml:space="preserve">
</t>
        </r>
      </text>
    </comment>
    <comment ref="A17" authorId="0">
      <text>
        <r>
          <rPr>
            <sz val="8"/>
            <rFont val="Tahoma"/>
            <family val="2"/>
          </rPr>
          <t xml:space="preserve">Per i dirigenti scolastici inserire la retribuzione di posizione fissa e variabile (l'IIS è conglobata nello stipendio)
</t>
        </r>
      </text>
    </comment>
  </commentList>
</comments>
</file>

<file path=xl/sharedStrings.xml><?xml version="1.0" encoding="utf-8"?>
<sst xmlns="http://schemas.openxmlformats.org/spreadsheetml/2006/main" count="865" uniqueCount="334">
  <si>
    <t xml:space="preserve"> </t>
  </si>
  <si>
    <t>Qualifica</t>
  </si>
  <si>
    <t>Cognome e Nome</t>
  </si>
  <si>
    <t>mesi</t>
  </si>
  <si>
    <t>anni</t>
  </si>
  <si>
    <t>BUONUSCITA NETTA</t>
  </si>
  <si>
    <t>Si possono inserire i dati solo nelle celle gialle</t>
  </si>
  <si>
    <t>ISTRUZIONI</t>
  </si>
  <si>
    <t>by minapoli</t>
  </si>
  <si>
    <t>Eventuale assegno ad personam mensile lordo</t>
  </si>
  <si>
    <t>Indennità integrativa speciale mensile lorda</t>
  </si>
  <si>
    <r>
      <t xml:space="preserve">sezione </t>
    </r>
    <r>
      <rPr>
        <sz val="10"/>
        <rFont val="Arial"/>
        <family val="2"/>
      </rPr>
      <t>Importi</t>
    </r>
    <r>
      <rPr>
        <i/>
        <sz val="10"/>
        <color indexed="10"/>
        <rFont val="Arial"/>
        <family val="2"/>
      </rPr>
      <t xml:space="preserve"> del cedolino dello stipendio del Tesoro.</t>
    </r>
  </si>
  <si>
    <r>
      <t xml:space="preserve">Nota: Inserire i dati retributivi che si trovano nella colonna </t>
    </r>
    <r>
      <rPr>
        <sz val="10"/>
        <rFont val="Arial"/>
        <family val="2"/>
      </rPr>
      <t>Lordi</t>
    </r>
    <r>
      <rPr>
        <i/>
        <sz val="10"/>
        <color indexed="10"/>
        <rFont val="Arial"/>
        <family val="2"/>
      </rPr>
      <t xml:space="preserve"> della</t>
    </r>
  </si>
  <si>
    <t>gg.</t>
  </si>
  <si>
    <t>euro</t>
  </si>
  <si>
    <t>lire</t>
  </si>
  <si>
    <t>Stipendio annuo utile alla buonuscita</t>
  </si>
  <si>
    <t>Eventuale assegno ad personam annuo</t>
  </si>
  <si>
    <t>Indenntà integrativa speciale annua</t>
  </si>
  <si>
    <t>Tredicesima mensilità</t>
  </si>
  <si>
    <t>Retribuzione utile</t>
  </si>
  <si>
    <t>Anzianità utile anni</t>
  </si>
  <si>
    <t>Parte non tassabile</t>
  </si>
  <si>
    <t>Riduzione imponibile</t>
  </si>
  <si>
    <t>Imponibile</t>
  </si>
  <si>
    <t>Reddito di riferimento</t>
  </si>
  <si>
    <t>Irpef lorda reddito di riferimento</t>
  </si>
  <si>
    <t>Aliquota Irpef</t>
  </si>
  <si>
    <t xml:space="preserve">Irpef </t>
  </si>
  <si>
    <t>LE CELLE IN CUI VANNO INSERITI I DATI HANNO LO SFONDO GIALLO, SONO LE SOLE CHE ACCETTANO DATI;</t>
  </si>
  <si>
    <t xml:space="preserve">LE CELLE CONTENENTI LE FORMULE SONO INVECE PROTETTE DALLA SCRITTURA ANCHE INVOLONTARIA </t>
  </si>
  <si>
    <t>CHE DANNEGGEREBBE IL PROGRAMMA.</t>
  </si>
  <si>
    <t>Data di nascita</t>
  </si>
  <si>
    <t>Data di presentazione della domanda</t>
  </si>
  <si>
    <t>Retribuzione mensile lorda alla data di presentazione della domanda</t>
  </si>
  <si>
    <t>Periodo da riscattare</t>
  </si>
  <si>
    <t>Età alla data di presentazione della domanda</t>
  </si>
  <si>
    <t>Elaborazione dei dati</t>
  </si>
  <si>
    <t>Eta dell'interessata alla domanda in giorni</t>
  </si>
  <si>
    <t xml:space="preserve">      pari ad anni</t>
  </si>
  <si>
    <t xml:space="preserve">      mesi</t>
  </si>
  <si>
    <t xml:space="preserve">      giorni</t>
  </si>
  <si>
    <t>che si arrotonda ad anni</t>
  </si>
  <si>
    <t>Stipendio annuo alla data di presentazione della domanda</t>
  </si>
  <si>
    <t>Periodo da riscattare in mesi</t>
  </si>
  <si>
    <t>Coefficiente di riscatto</t>
  </si>
  <si>
    <t>Coefficienti di</t>
  </si>
  <si>
    <t>riscatto</t>
  </si>
  <si>
    <t xml:space="preserve">CALCOLO RISCATTO BUONUSCITA </t>
  </si>
  <si>
    <t>Retribuzione complessiva con tredicesima</t>
  </si>
  <si>
    <t>Pagamento rateale: numero rate</t>
  </si>
  <si>
    <t>Importo di ogni rata</t>
  </si>
  <si>
    <t>IMPORTO RISCATTO</t>
  </si>
  <si>
    <t>Coefficiente di rateizzazione</t>
  </si>
  <si>
    <t>rateizzazione</t>
  </si>
  <si>
    <t>BUONUSCITA - SERVIZI UTILI O RISCATTABILI</t>
  </si>
  <si>
    <t>Servizio di ruolo nello Stato</t>
  </si>
  <si>
    <t>Servizio con iscrizione al Fondo Previdenziale INADEL</t>
  </si>
  <si>
    <t>Servizio con iscrizione al Fondo Previdenziale Ferrovieri</t>
  </si>
  <si>
    <t>Legge 831/61</t>
  </si>
  <si>
    <t>Tipologia</t>
  </si>
  <si>
    <t>Riferimento normativo</t>
  </si>
  <si>
    <t>Legge 282/69</t>
  </si>
  <si>
    <t>Legge 282/70</t>
  </si>
  <si>
    <t>Incarico a tempo indeterminato al personale ATA dal 68/69 al 77/79</t>
  </si>
  <si>
    <t>Incarico triennale docente scuola secondaria dal 61/62 al 67/68</t>
  </si>
  <si>
    <t>Incarico a tempo indeterminato docente nella scuola secondaria dal 68/69 al 77/78</t>
  </si>
  <si>
    <t>Incarico a tempo determinato docenti e ATA dal 78/79 al 80/81</t>
  </si>
  <si>
    <t>Legge 463/78</t>
  </si>
  <si>
    <t>D.L. 281/81</t>
  </si>
  <si>
    <t>Servizio con iscrizione al Fondo Previdenziale Postelegrafonici</t>
  </si>
  <si>
    <t>Legge 820/71</t>
  </si>
  <si>
    <t>Servizio statale non di ruolo con contributi all'INPS</t>
  </si>
  <si>
    <t>Periodi di ruolo giuridico se coperti da contribuzione per la pensione</t>
  </si>
  <si>
    <t>Servizio presso Enti parastatali</t>
  </si>
  <si>
    <t>Periodo di dottorato di ricerca</t>
  </si>
  <si>
    <t xml:space="preserve">Periodo legale di studi universitari </t>
  </si>
  <si>
    <t>Periodo legale per il conseguimento del diploma ISEF</t>
  </si>
  <si>
    <t>Periodo legale dei corsi di perfezionamento post-universitari</t>
  </si>
  <si>
    <t>Periodo legale di studi per il conseguimento del diploma di Accademia di Belle Arti</t>
  </si>
  <si>
    <t>C.M. n° 132/80</t>
  </si>
  <si>
    <t>C.M. n° 183/85</t>
  </si>
  <si>
    <t>C.M. n° 378/91</t>
  </si>
  <si>
    <t>Art. 7 Legge 412/91</t>
  </si>
  <si>
    <t>Servizio di assistente straordinario o incaricato nell'Università e nella scuola secondaria</t>
  </si>
  <si>
    <t>Servizio di insegnante nelle scuole pareggiate o legalmente riconosciute</t>
  </si>
  <si>
    <t>Servizio nelle scuole elementari parificate, sussidiate e sussidiarie</t>
  </si>
  <si>
    <t>Doposcuola con i Patronati Scolastici con contributi INPS</t>
  </si>
  <si>
    <t>Doposcuola con le Amministrazioni Comunali se non è stata corrisposta la liquidazione</t>
  </si>
  <si>
    <t>Le maggiorazioni di servizio ai fini pensionistici previsti dalla legge</t>
  </si>
  <si>
    <t>Le indicazioni non sono esaustive, sono riportate le situazioni più ricorrenti</t>
  </si>
  <si>
    <t>Servizio negli Educandati dello Stato e nei Convitti Nazionali</t>
  </si>
  <si>
    <t>Servizio con Enti di diritto pubblico sottoposto alla vigilanza dello Stato</t>
  </si>
  <si>
    <t>Servizio di ruolo con retribuzione ridotta</t>
  </si>
  <si>
    <t>SERVIZI UTILI</t>
  </si>
  <si>
    <t>(Sono riconoscibili d'ufficio o presentando domanda con documentazione)</t>
  </si>
  <si>
    <t xml:space="preserve">SERVIZI RISCATTABILI </t>
  </si>
  <si>
    <t>IL PROGRAMMA PERMETTE DI CALCOLARE LA BUONUSCITA DEL PERSONALE DELLA SCUOLA E L'ONERE.</t>
  </si>
  <si>
    <t>DEI RISCATTI DI PERIODI AI FINI DELLA BUONUSCITA.</t>
  </si>
  <si>
    <t>Servizi</t>
  </si>
  <si>
    <t>IN QUESTA SEZIONE SONO INDICATI I PRINCIPALI SERVIZI UTILI E QUELLI RISCATTABILI A DOMANDA.</t>
  </si>
  <si>
    <t>Riscatti</t>
  </si>
  <si>
    <t>IN QUESTA SEZIONE E' POSSIBILE CALCOLARE L'ONERE PER I PERIODI DA RISCATTARE, SIA PER IL PAGA-</t>
  </si>
  <si>
    <t>MENTO IN UN'UNICA SOLUZIONE, SIA PER IL PAGAMENTO RATEALE.</t>
  </si>
  <si>
    <t xml:space="preserve">IL PAGAMENTO RATEALE PUO' ESSERE FATTO DA CHI E' IN SERVIZIO A TEMPO INDETERMINATO; IN CASO </t>
  </si>
  <si>
    <t>DI PENSIONAMENTO LE RATE RESIDUE NON SONO TRASFERIBILI SULLA PENSIONE, PER CUI VENGONO</t>
  </si>
  <si>
    <t>TRATTENUTE AL PAGAMENTO DELL'INDENNITA' DI BUONUSCITA.</t>
  </si>
  <si>
    <t xml:space="preserve">        RISCATTO BUONUSCITA  DEL PERSONALE DELLA SCUOLA </t>
  </si>
  <si>
    <t>Eventuale onere per riscatto in addebito</t>
  </si>
  <si>
    <t>PER UN CALCOLO CORRETTO IN QUESTO CASO SI PUO' INSERIRE L'IMPORTO DELL'ONERE DEL RISCATTO</t>
  </si>
  <si>
    <t>NELLA CELLA B17.</t>
  </si>
  <si>
    <t>VIENE TRATTENUTO AL MOMENTO DEL PAGAMENTO DELLA BUONUSCITA.</t>
  </si>
  <si>
    <t xml:space="preserve">ANCHE IN CASO DI PENSIONAMENTO PRIMA DI INIZIARE IL PAGAMENTO DEL RISCATTO, L'INTERO ONERE </t>
  </si>
  <si>
    <t xml:space="preserve">COLORO AI QUALI L' ONERE TOTALE O PARZIALE PER IL RISCATTO DI SERVIZI AI FINI DELLA BUONUSCITA </t>
  </si>
  <si>
    <t xml:space="preserve">VIENE TRATTENUTO CONTESTUALMENTE AL PAGAMENTO DELLA BUONUSCITA,  POSSONO INDICARNE  </t>
  </si>
  <si>
    <t xml:space="preserve"> PROGRAMMA.</t>
  </si>
  <si>
    <t>L'IMPORTO NELLA CELLA B17; PER IL CALCOLO DELL'ONERE ANDARE NELLA SEZIONE Riscatti DI QUESTO</t>
  </si>
  <si>
    <t>Servizio quale insegnante di religione senza titolo e senza contribuzione ENPAS</t>
  </si>
  <si>
    <t>E' POSSIBILE CALCOLARE L'IMPORTO DELLA BUONUSCITA LORDA E NETTA PER LE CESSAZIONI AVVENUTE</t>
  </si>
  <si>
    <t xml:space="preserve">Anzianità complessiva utile alla buonuscita </t>
  </si>
  <si>
    <t xml:space="preserve">Buonuscita lorda </t>
  </si>
  <si>
    <t>Interessi legali corrisposti per ritardato pagamento</t>
  </si>
  <si>
    <t>Di cui per riscatto di maggiorazioni di servizio</t>
  </si>
  <si>
    <t>Importo  trattenuto per riscatto periodi</t>
  </si>
  <si>
    <t>Eventuali interessi corrisposti per ritardato pagamento</t>
  </si>
  <si>
    <t>Di cui per riscatto</t>
  </si>
  <si>
    <t>Buonuscita</t>
  </si>
  <si>
    <t>L'importo pagato è detraibile ai fini del calcolo dell'imposta IRPEF.</t>
  </si>
  <si>
    <t>L'amministrazione che riscuote l'importo è tenuta a certificare il pagamento da considerare nella dichiarazione dei redditi.</t>
  </si>
  <si>
    <t>Potendo detrarre un importo massimo di 1291,12 euro all'anno, per impoprti superiori può essere conveniente il pagamento</t>
  </si>
  <si>
    <t>rateale; questa forma di pagamento non può essere protratta oltre la cessazione dal servizio.</t>
  </si>
  <si>
    <t>SE DOVUTO, PUO' ESSERE INSERITO ANCHE L'IMPORTO DEGLI INTERESSI PER RITARDATO PAGAMENTO.</t>
  </si>
  <si>
    <t>PER UN CALCOLO CORRETTO DELL'IRPEF E' NECESSARIO INDICARE I PERIODI DI SERVIZIO RISCATTATI E</t>
  </si>
  <si>
    <t>ANCHE QUELLI CONVENZIONALI QUALI LE MAGGIORAZIONI (SCUOLA SPECIALE, SERVIZIO ESTERO ...).</t>
  </si>
  <si>
    <t>Servizio come supplente annuale dal 81/82 in poi con decorrenza dall'inizio dell'anno scol.</t>
  </si>
  <si>
    <t>Servizio militare prestato in costanza di servizio di ruolo</t>
  </si>
  <si>
    <t>DPR 3/57, art. 67</t>
  </si>
  <si>
    <t>DPR 417/74, art. 117</t>
  </si>
  <si>
    <t xml:space="preserve">        CALCOLO BUONUSCITA  DEL PERSONALE DELLA SCUOLA AL </t>
  </si>
  <si>
    <t>CALCOLO RISCATTI BUONUSCITA</t>
  </si>
  <si>
    <t>BUONUSCITA PERSONALE SCUOLA</t>
  </si>
  <si>
    <t>CALCOLO BUONUSCITA</t>
  </si>
  <si>
    <t>Parte buonuscita per calcolo 26,04% non tassabile</t>
  </si>
  <si>
    <t>Beneficio legge 336</t>
  </si>
  <si>
    <t>IL PROGRAMMA E' GIA' PREDISPOSTO PER UTILIZZARE L'INDENNITA' INTEGRATIVA SPECIALE AL 60% PER</t>
  </si>
  <si>
    <t>I PENSIONAMENTI FINO AL 2002 E AL 100% DAL 2003 IN POI.</t>
  </si>
  <si>
    <t>Servizio militare terminato dopo il 30/1/87</t>
  </si>
  <si>
    <t>Servizio militare prestato prima del 31/1/87 (riferito alla data del congedo)</t>
  </si>
  <si>
    <t>Collaboratore scolastico</t>
  </si>
  <si>
    <t>Assistente amministrativo</t>
  </si>
  <si>
    <t>Assistente tecnico</t>
  </si>
  <si>
    <t>Direttore dei servizi amministrativi</t>
  </si>
  <si>
    <t>Insegnante di scuola materna</t>
  </si>
  <si>
    <t xml:space="preserve">Insegnante di scuola elementare </t>
  </si>
  <si>
    <t>Insegnante tecnico pratico</t>
  </si>
  <si>
    <t>Insegnante di scuola media</t>
  </si>
  <si>
    <t>Insegnante di scuola secondaria superiore</t>
  </si>
  <si>
    <t>Dirigente scolastico</t>
  </si>
  <si>
    <t>Quota lorda per ogni anno utile</t>
  </si>
  <si>
    <t>da 0 a 2</t>
  </si>
  <si>
    <t>da 3 a 8</t>
  </si>
  <si>
    <t>da 9 a 14</t>
  </si>
  <si>
    <t>da 15 a 20</t>
  </si>
  <si>
    <t>da 21 a 27</t>
  </si>
  <si>
    <t>da 28 a 34</t>
  </si>
  <si>
    <t>da 35 in poi</t>
  </si>
  <si>
    <t>FASCE</t>
  </si>
  <si>
    <t xml:space="preserve">Collaboratore </t>
  </si>
  <si>
    <t xml:space="preserve">Assistenti </t>
  </si>
  <si>
    <t>Coordinatore</t>
  </si>
  <si>
    <t xml:space="preserve">Direttori dei </t>
  </si>
  <si>
    <t>Docenti</t>
  </si>
  <si>
    <t>ITP - Docenti</t>
  </si>
  <si>
    <t>Docenti laur.</t>
  </si>
  <si>
    <t>ANZIANITA'</t>
  </si>
  <si>
    <t>scolastico</t>
  </si>
  <si>
    <t>amministrativi</t>
  </si>
  <si>
    <t>amministrativo</t>
  </si>
  <si>
    <t>servizi generali</t>
  </si>
  <si>
    <t>materna ed</t>
  </si>
  <si>
    <t>diplomati sc.</t>
  </si>
  <si>
    <t>scuola media</t>
  </si>
  <si>
    <t>secondaria</t>
  </si>
  <si>
    <t>dei servizi</t>
  </si>
  <si>
    <t>e tecnici</t>
  </si>
  <si>
    <t>e tecnico</t>
  </si>
  <si>
    <t>e amministrativi</t>
  </si>
  <si>
    <t>elementare</t>
  </si>
  <si>
    <t>superiore</t>
  </si>
  <si>
    <t xml:space="preserve">I.I.S. </t>
  </si>
  <si>
    <t>POSIZIONI STIPENDIALI MENSILI DAL 1/2/2005</t>
  </si>
  <si>
    <t>Anzianità senza i periodi riscattati</t>
  </si>
  <si>
    <t>Esclusione vantaggi legge 336</t>
  </si>
  <si>
    <t>dal calcolo del 26,04%</t>
  </si>
  <si>
    <t xml:space="preserve">Ricalcolo anzianità con </t>
  </si>
  <si>
    <t>esclusione periodi riscattati</t>
  </si>
  <si>
    <t>Variazioni IRPEF</t>
  </si>
  <si>
    <t>Importo annuo per eventuale beneficio legge 336</t>
  </si>
  <si>
    <t xml:space="preserve">Incarico a tempo indeterminato docenti elementare e materna dal 71/72 </t>
  </si>
  <si>
    <t>nota</t>
  </si>
  <si>
    <t>POSIZIONI STIPENDIALI MENSILI DAL 1/2/2007</t>
  </si>
  <si>
    <t>POSIZIONI STIPENDIALI MENSILI DAL 1/1/2006</t>
  </si>
  <si>
    <t>Coordinatore amministrativo</t>
  </si>
  <si>
    <t>Codice qualifica e IIS</t>
  </si>
  <si>
    <t>Collaboratore scolastico dei servizi</t>
  </si>
  <si>
    <t>Retribuzione mensile lorda alla cessazione in euro</t>
  </si>
  <si>
    <t>Posizione stipendiale (vedi cedolino dello stipendio)</t>
  </si>
  <si>
    <t>Classe</t>
  </si>
  <si>
    <t>Dirigenti</t>
  </si>
  <si>
    <t>scolastici</t>
  </si>
  <si>
    <t>POSIZIONI STIPENDIALI MENSILI DAL 1/1/2004</t>
  </si>
  <si>
    <t>POSIZIONI STIPENDIALI MENSILI DAL 1/12003</t>
  </si>
  <si>
    <t xml:space="preserve">POSIZIONI STIPENDIALI MENSILI DAL 1/1/2002 </t>
  </si>
  <si>
    <r>
      <t xml:space="preserve">Nota: Verificare i dati retributivi che si trovano nella colonna </t>
    </r>
    <r>
      <rPr>
        <b/>
        <sz val="10"/>
        <color indexed="10"/>
        <rFont val="Arial"/>
        <family val="2"/>
      </rPr>
      <t>Lordi</t>
    </r>
    <r>
      <rPr>
        <b/>
        <i/>
        <sz val="10"/>
        <rFont val="Arial"/>
        <family val="2"/>
      </rPr>
      <t xml:space="preserve"> della</t>
    </r>
  </si>
  <si>
    <r>
      <t xml:space="preserve">sezione </t>
    </r>
    <r>
      <rPr>
        <b/>
        <sz val="10"/>
        <color indexed="10"/>
        <rFont val="Arial"/>
        <family val="2"/>
      </rPr>
      <t>Importi</t>
    </r>
    <r>
      <rPr>
        <b/>
        <i/>
        <sz val="10"/>
        <rFont val="Arial"/>
        <family val="2"/>
      </rPr>
      <t xml:space="preserve"> del cedolino dello stipendio del Tesoro.</t>
    </r>
  </si>
  <si>
    <t>Inserire o modificare i dati nelle celle color giallo paglierino</t>
  </si>
  <si>
    <t>Per modificare lo stipen-</t>
  </si>
  <si>
    <t xml:space="preserve">dio o l'IIS mensili basta </t>
  </si>
  <si>
    <t>inserirli in C15 o C17</t>
  </si>
  <si>
    <t>Scelta IIS in B17 o C17</t>
  </si>
  <si>
    <t>Per modificare i dati inseriti dal programma reinserirli in C15 e C17.</t>
  </si>
  <si>
    <t xml:space="preserve">I DATI RELATIVI ALLA RETRIBUZIONE SONO RICAVABILI DAL CEDOLINO DELLO STIPENDIO, NELLA COLONNA </t>
  </si>
  <si>
    <t>PER MODIFICARLI BASTA INSERIRE IL NUOVO IMPORTO NELLE CELLE C15 E C17; IN QUESTO CASO PER IL</t>
  </si>
  <si>
    <t>Lordi DELLA SEZIONE Importi.    IL PROGRAMMA LI INSERISCE AUTOMATICAMENTE.</t>
  </si>
  <si>
    <t>CALCOLO SARANNO VALIDI I DATI INSERITI DALL'UTENTE.</t>
  </si>
  <si>
    <t>POSIZIONI STIPENDIALI MENSILI DAL 1/1/2007</t>
  </si>
  <si>
    <t>H1=1 gen 05</t>
  </si>
  <si>
    <t>In E2 classe</t>
  </si>
  <si>
    <t>in E1 qualifica</t>
  </si>
  <si>
    <t>H2=1 gen 07</t>
  </si>
  <si>
    <t xml:space="preserve">C1 anno p. </t>
  </si>
  <si>
    <t>C2 mese p.</t>
  </si>
  <si>
    <t>Sgravi Decreto 20/3/08</t>
  </si>
  <si>
    <t>Redd. Rif.</t>
  </si>
  <si>
    <t>&lt;28000</t>
  </si>
  <si>
    <t>&lt;30000</t>
  </si>
  <si>
    <t>Detrazione</t>
  </si>
  <si>
    <t>NEL CALCOLO DELL'IRPEF NETTA E' APPLICATO IL DECRETO MINISTERIALE DEL 20/3/08 CHE PREVEDE UNA</t>
  </si>
  <si>
    <t>Insegnante di scuola elementare</t>
  </si>
  <si>
    <t>XY</t>
  </si>
  <si>
    <t>Per i Dir. Scol. inserire la retribuzione di posizione fissa e variabile</t>
  </si>
  <si>
    <t>Retribuzione</t>
  </si>
  <si>
    <t>di posizione</t>
  </si>
  <si>
    <t>Retribuzione di posizione fissa e variabile</t>
  </si>
  <si>
    <t>Legge 53/2000, art. 7</t>
  </si>
  <si>
    <t xml:space="preserve">I servizi a stipendio ridotto per infermità </t>
  </si>
  <si>
    <t>Legge 1407/56, art. 4</t>
  </si>
  <si>
    <t>Riscatto della parte non utile dei servizi a stipendio ridotto valutati al 50%</t>
  </si>
  <si>
    <t>I servizi a stipendio ridotto non per infermità sono utili al 50% (eccetto punto 13)</t>
  </si>
  <si>
    <t>Astensione facoltativa al 30% posteriore all'8/3/2000</t>
  </si>
  <si>
    <t xml:space="preserve">Altri emolumenti utili </t>
  </si>
  <si>
    <t>Importo mensile lordo altri emolumenti utili (vedi nota)</t>
  </si>
  <si>
    <t>Retr, Posiz.</t>
  </si>
  <si>
    <t>POSIZIONI STIPENDIALI MENSILI DAL 1/7/2008 (vacanza contrattuale)</t>
  </si>
  <si>
    <t>POSIZIONI STIPENDIALI MENSILI DAL 1/1/2009 - biennio 2008/09</t>
  </si>
  <si>
    <t xml:space="preserve">POSIZIONI STIPENDIALI MENSILI DAL </t>
  </si>
  <si>
    <t>Detrazione legge 244/2007</t>
  </si>
  <si>
    <t>minapoli software</t>
  </si>
  <si>
    <t>DAL 1/3/2001 AL 31/12/2010</t>
  </si>
  <si>
    <t>IVC dal 1/7</t>
  </si>
  <si>
    <t>Indennità di vacanza contrattuale dal 1/7/2010</t>
  </si>
  <si>
    <t>IVC 2010</t>
  </si>
  <si>
    <t xml:space="preserve">I DATI INSERITI AUTOMATICAMENTE SONO AGGIORNATI ALLE TABELLE DEL BIENNIO CONTRATTUALE </t>
  </si>
  <si>
    <t>2008-09 CON L'INDENNITAì DI VACANZA CONTRATTUALE CORRISPOSTA DAL 1/7/2010.</t>
  </si>
  <si>
    <t>DETRAZIONE PROGRESSIVA LEGATA AL REDDITO DI RIFERIMENTO.</t>
  </si>
  <si>
    <t>CALCOLO RATE</t>
  </si>
  <si>
    <t>Comma 7 dell'art. 12 del Decreto Legge n. 78/10 convertito nella Legge n. 122/10</t>
  </si>
  <si>
    <t>Buonuscita lorda</t>
  </si>
  <si>
    <t>Irpef</t>
  </si>
  <si>
    <t>Buonuscita netta</t>
  </si>
  <si>
    <t xml:space="preserve">Anzianità </t>
  </si>
  <si>
    <t>Interessi legali</t>
  </si>
  <si>
    <t>retribuzione utile</t>
  </si>
  <si>
    <t xml:space="preserve">Prima rata lorda </t>
  </si>
  <si>
    <t>Coefficienti di rivalutazione</t>
  </si>
  <si>
    <t>PRIMA RATA NETTA</t>
  </si>
  <si>
    <t xml:space="preserve">Seconda rata lorda </t>
  </si>
  <si>
    <t xml:space="preserve">Buonuscita netta </t>
  </si>
  <si>
    <t>Netto ricevuto con la prima rata</t>
  </si>
  <si>
    <t>SECONDA RATA NETTA</t>
  </si>
  <si>
    <t xml:space="preserve">Terza rata lorda </t>
  </si>
  <si>
    <t>Netto ricevuto con le prime due rate</t>
  </si>
  <si>
    <t>TERZA RATA NETTA</t>
  </si>
  <si>
    <t>Buonuscita maturata</t>
  </si>
  <si>
    <t>lorda</t>
  </si>
  <si>
    <t>irpef</t>
  </si>
  <si>
    <t>netta</t>
  </si>
  <si>
    <t>Prima rata</t>
  </si>
  <si>
    <t>Seconda rata</t>
  </si>
  <si>
    <t>Terza rata</t>
  </si>
  <si>
    <t>Quota detraibile</t>
  </si>
  <si>
    <t>Annua</t>
  </si>
  <si>
    <t>Mensile</t>
  </si>
  <si>
    <t>29/10/2012 per cui è stato abrogato il comma 10 dell'art. 12 della legge 133 del 30/7/2010.</t>
  </si>
  <si>
    <t>Rate</t>
  </si>
  <si>
    <t xml:space="preserve">IN CASO DI CORRESPONSIONE DELLA BUONUSCITA IN DUE O TRE RATE (PER IL PERSONALE DELLA SCUOLA </t>
  </si>
  <si>
    <t xml:space="preserve">SALVO RARE ECCEZIONI, SOLO I DIRIGENTI SCOLASTICI SUPERANO IL TETTO), E' POSSIBILE CALCOLARE LE </t>
  </si>
  <si>
    <t>Aggiornato alle retribuzioni dell'intesa per il biennio 2008/09 e alla legge n. 228/12.</t>
  </si>
  <si>
    <t>Pertanto il calcolo viene effettuato col precedente sistema in un'unica quota.</t>
  </si>
  <si>
    <t>Questa versione del programma recepisce la novità.</t>
  </si>
  <si>
    <t>La legge n. 228 del 24 dicembre 2012 ha recepito ai commi dal 98 al 101 il decreto legge n. 185 del</t>
  </si>
  <si>
    <t>(La domanda può essere presentata dal personale</t>
  </si>
  <si>
    <t>iscritto alla cassa dell'Opera di Previdenza dell'INPDAP)</t>
  </si>
  <si>
    <t>Art. 1 Legge 1368/65</t>
  </si>
  <si>
    <t>Oneri fiscali</t>
  </si>
  <si>
    <t>pensione di vecchiaia: 12 mesi + max 90 gg dalla cessazione</t>
  </si>
  <si>
    <t>pensione anticipata: 24 mesi + max 90 gg dalla cessazione</t>
  </si>
  <si>
    <t>La prima rata sarà corrisposta:</t>
  </si>
  <si>
    <t>BIANCHI BIANCA</t>
  </si>
  <si>
    <t>Importo lordo complessivo prima e seconda rata</t>
  </si>
  <si>
    <t>Importo lordo complessivo delle tre rate</t>
  </si>
  <si>
    <t>VARIE RATE LORDE. PER IL CALCOLO NETTO SONO POSSIBILI DIVERSI CRITERI PER CUI, PUR RESTANDO</t>
  </si>
  <si>
    <t>FERMO L'IMPORTO NETTO COMPLESSIVO, QUELLO DELLE VARIE RATE POTRA' ESSERE DIVERSO.</t>
  </si>
  <si>
    <t xml:space="preserve">        l'importo netto complessivo, sono possibili differenze col calcolo dell'INPDAP.</t>
  </si>
  <si>
    <t xml:space="preserve">Nota: Per il calcolo netto di ogni rata sono possibili criteri diversi per cui, pur restando fermo </t>
  </si>
  <si>
    <t>Retribuzion annua utile per il calcolo</t>
  </si>
  <si>
    <t>Bunuscita lorda e netta</t>
  </si>
  <si>
    <t>Importo netto per ogni anno utile</t>
  </si>
  <si>
    <t>Con Office 2007/2010 bisogna abilitare le macro dall'apposito pulsante disposto in alto sotto la barra dei comandi.</t>
  </si>
  <si>
    <t>1 - Unica soluzione - nessuna rateazione</t>
  </si>
  <si>
    <t>2 - Prima rata pari a 50.000 euro</t>
  </si>
  <si>
    <t>3 - Prima rata pari a 90.000 euro</t>
  </si>
  <si>
    <t>Prima rata lorda e netta</t>
  </si>
  <si>
    <t>Seconda rata lorda e netta</t>
  </si>
  <si>
    <t>Terza rata lorda e netta</t>
  </si>
  <si>
    <t>pensione per motivi di salute: 15 giorni + max 90 gg dalla cessazione</t>
  </si>
  <si>
    <t>Decorrenza della cessazione (dal 1/1/2004 in poi)</t>
  </si>
  <si>
    <t>versione settembre 2016</t>
  </si>
  <si>
    <t>ATTENZIONE! I pulsanti adoperano le macro, se la protezione del computer è di livello alto, potrebbero non</t>
  </si>
  <si>
    <t>funzionare, ma basta eseguire le stesse operazioni manualmente.</t>
  </si>
  <si>
    <t>Vai alla pagina Istruzioni</t>
  </si>
  <si>
    <t xml:space="preserve">IL PROGRAMMA COMPRENDE QUATTRO SEZIONI, RAGGIUNGIBILI DAI LINK DI QUESTA PAGINA OPPURE DALLA </t>
  </si>
  <si>
    <t xml:space="preserve">BARRA ORIZZONTALE DI EXCEL PRESENTE SUL BORDO IN BASSO. </t>
  </si>
  <si>
    <t>SE NON COMPARE LA BARRA IN BASSO, CLICCARE SUL QUADRATINO NELL'ANGOLO IN ALTO A DESTRA.</t>
  </si>
</sst>
</file>

<file path=xl/styles.xml><?xml version="1.0" encoding="utf-8"?>
<styleSheet xmlns="http://schemas.openxmlformats.org/spreadsheetml/2006/main">
  <numFmts count="5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 ;\-#,##0\ "/>
    <numFmt numFmtId="171" formatCode="0.0000"/>
    <numFmt numFmtId="172" formatCode="0.000"/>
    <numFmt numFmtId="173" formatCode="0.00000"/>
    <numFmt numFmtId="174" formatCode="0.0"/>
    <numFmt numFmtId="175" formatCode="_-* #,##0.00000_-;\-* #,##0.00000_-;_-* &quot;-&quot;?????_-;_-@_-"/>
    <numFmt numFmtId="176" formatCode="0.00000000"/>
    <numFmt numFmtId="177" formatCode="0.0000000"/>
    <numFmt numFmtId="178" formatCode="0.000000"/>
    <numFmt numFmtId="179" formatCode="_-* #,##0.0_-;\-* #,##0.0_-;_-* &quot;-&quot;_-;_-@_-"/>
    <numFmt numFmtId="180" formatCode="_-* #,##0.00_-;\-* #,##0.00_-;_-* &quot;-&quot;_-;_-@_-"/>
    <numFmt numFmtId="181" formatCode="_-* #,##0.000_-;\-* #,##0.000_-;_-* &quot;-&quot;_-;_-@_-"/>
    <numFmt numFmtId="182" formatCode="_-* #,##0.0000_-;\-* #,##0.0000_-;_-* &quot;-&quot;_-;_-@_-"/>
    <numFmt numFmtId="183" formatCode="#,##0.00000_ ;\-#,##0.00000\ "/>
    <numFmt numFmtId="184" formatCode="d/m/yyyy"/>
    <numFmt numFmtId="185" formatCode="d\ mmmm\ yyyy"/>
    <numFmt numFmtId="186" formatCode="0.E+00"/>
    <numFmt numFmtId="187" formatCode="yyyy"/>
    <numFmt numFmtId="188" formatCode="_-* #,##0_-;\-* #,##0_-;_-* &quot;-&quot;?????_-;_-@_-"/>
    <numFmt numFmtId="189" formatCode="d/m"/>
    <numFmt numFmtId="190" formatCode="_-* #,##0.00000_-;\-* #,##0.00000_-;_-* &quot;-&quot;_-;_-@_-"/>
    <numFmt numFmtId="191" formatCode="&quot;L.&quot;\ #,##0"/>
    <numFmt numFmtId="192" formatCode="###.####"/>
    <numFmt numFmtId="193" formatCode="###,###,###"/>
    <numFmt numFmtId="194" formatCode="###"/>
    <numFmt numFmtId="195" formatCode="###,###,###,###,###"/>
    <numFmt numFmtId="196" formatCode="####"/>
    <numFmt numFmtId="197" formatCode="#,##0.00000"/>
    <numFmt numFmtId="198" formatCode="[$€-2]\ #,##0.00"/>
    <numFmt numFmtId="199" formatCode="0.0%"/>
    <numFmt numFmtId="200" formatCode="0.000%"/>
    <numFmt numFmtId="201" formatCode="0.0000%"/>
    <numFmt numFmtId="202" formatCode="_-* #,##0.0000_-;\-* #,##0.0000_-;_-* &quot;-&quot;????_-;_-@_-"/>
    <numFmt numFmtId="203" formatCode="_-* #,##0.0_-;\-* #,##0.0_-;_-* &quot;-&quot;??_-;_-@_-"/>
    <numFmt numFmtId="204" formatCode="_-* #,##0_-;\-* #,##0_-;_-* &quot;-&quot;??_-;_-@_-"/>
    <numFmt numFmtId="205" formatCode="_-* #,##0.000_-;\-* #,##0.000_-;_-* &quot;-&quot;??_-;_-@_-"/>
    <numFmt numFmtId="206" formatCode="_-* #,##0.0000_-;\-* #,##0.0000_-;_-* &quot;-&quot;??_-;_-@_-"/>
    <numFmt numFmtId="207" formatCode="mmm\-yyyy"/>
    <numFmt numFmtId="208" formatCode="[$-410]dddd\ d\ mmmm\ yyyy"/>
    <numFmt numFmtId="209" formatCode="d/m/yy;@"/>
    <numFmt numFmtId="210" formatCode="_-[$€-2]\ * #,##0.00_-;\-[$€-2]\ * #,##0.00_-;_-[$€-2]\ * &quot;-&quot;??_-"/>
    <numFmt numFmtId="211" formatCode="_-* #,##0.000000_-;\-* #,##0.000000_-;_-* &quot;-&quot;??????_-;_-@_-"/>
  </numFmts>
  <fonts count="45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26"/>
      <color indexed="9"/>
      <name val="Arial"/>
      <family val="2"/>
    </font>
    <font>
      <b/>
      <sz val="10"/>
      <color indexed="10"/>
      <name val="Arial"/>
      <family val="2"/>
    </font>
    <font>
      <sz val="12"/>
      <color indexed="9"/>
      <name val="Arial"/>
      <family val="2"/>
    </font>
    <font>
      <sz val="26"/>
      <name val="Arial"/>
      <family val="2"/>
    </font>
    <font>
      <sz val="18"/>
      <name val="Arial"/>
      <family val="2"/>
    </font>
    <font>
      <i/>
      <sz val="10"/>
      <color indexed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22"/>
      <color indexed="9"/>
      <name val="Arial"/>
      <family val="2"/>
    </font>
    <font>
      <sz val="8"/>
      <name val="Tahoma"/>
      <family val="2"/>
    </font>
    <font>
      <sz val="8"/>
      <color indexed="10"/>
      <name val="Tahoma"/>
      <family val="2"/>
    </font>
    <font>
      <b/>
      <sz val="12"/>
      <color indexed="9"/>
      <name val="Arial"/>
      <family val="2"/>
    </font>
    <font>
      <b/>
      <sz val="8"/>
      <name val="Tahoma"/>
      <family val="2"/>
    </font>
    <font>
      <b/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40"/>
      <name val="Arial"/>
      <family val="2"/>
    </font>
    <font>
      <b/>
      <sz val="8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8" borderId="0" applyNumberFormat="0" applyBorder="0" applyAlignment="0" applyProtection="0"/>
    <xf numFmtId="0" fontId="26" fillId="7" borderId="0" applyNumberFormat="0" applyBorder="0" applyAlignment="0" applyProtection="0"/>
    <xf numFmtId="0" fontId="27" fillId="9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3" borderId="0" applyNumberFormat="0" applyBorder="0" applyAlignment="0" applyProtection="0"/>
    <xf numFmtId="0" fontId="28" fillId="10" borderId="1" applyNumberFormat="0" applyAlignment="0" applyProtection="0"/>
    <xf numFmtId="0" fontId="29" fillId="0" borderId="2" applyNumberFormat="0" applyFill="0" applyAlignment="0" applyProtection="0"/>
    <xf numFmtId="0" fontId="30" fillId="11" borderId="3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9" borderId="0" applyNumberFormat="0" applyBorder="0" applyAlignment="0" applyProtection="0"/>
    <xf numFmtId="0" fontId="27" fillId="15" borderId="0" applyNumberFormat="0" applyBorder="0" applyAlignment="0" applyProtection="0"/>
    <xf numFmtId="210" fontId="0" fillId="0" borderId="0" applyFont="0" applyFill="0" applyBorder="0" applyAlignment="0" applyProtection="0"/>
    <xf numFmtId="0" fontId="3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7" borderId="0" applyNumberFormat="0" applyBorder="0" applyAlignment="0" applyProtection="0"/>
    <xf numFmtId="0" fontId="0" fillId="4" borderId="4" applyNumberFormat="0" applyFont="0" applyAlignment="0" applyProtection="0"/>
    <xf numFmtId="0" fontId="33" fillId="1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16" borderId="0" applyNumberFormat="0" applyBorder="0" applyAlignment="0" applyProtection="0"/>
    <xf numFmtId="0" fontId="42" fillId="17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0" fontId="0" fillId="9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9" borderId="0" xfId="0" applyFill="1" applyAlignment="1" applyProtection="1">
      <alignment horizontal="center"/>
      <protection locked="0"/>
    </xf>
    <xf numFmtId="0" fontId="0" fillId="9" borderId="0" xfId="0" applyFill="1" applyAlignment="1">
      <alignment horizontal="center"/>
    </xf>
    <xf numFmtId="0" fontId="0" fillId="9" borderId="0" xfId="0" applyFill="1" applyAlignment="1" applyProtection="1">
      <alignment/>
      <protection/>
    </xf>
    <xf numFmtId="0" fontId="6" fillId="0" borderId="0" xfId="0" applyFont="1" applyAlignment="1">
      <alignment/>
    </xf>
    <xf numFmtId="0" fontId="0" fillId="18" borderId="0" xfId="0" applyFill="1" applyAlignment="1" applyProtection="1">
      <alignment horizontal="center"/>
      <protection/>
    </xf>
    <xf numFmtId="0" fontId="0" fillId="18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9" borderId="0" xfId="0" applyFill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2" fontId="1" fillId="0" borderId="0" xfId="0" applyNumberFormat="1" applyFont="1" applyAlignment="1" applyProtection="1">
      <alignment horizontal="center"/>
      <protection/>
    </xf>
    <xf numFmtId="1" fontId="1" fillId="0" borderId="0" xfId="0" applyNumberFormat="1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14" fontId="0" fillId="0" borderId="0" xfId="0" applyNumberFormat="1" applyAlignment="1" applyProtection="1">
      <alignment horizontal="left"/>
      <protection/>
    </xf>
    <xf numFmtId="0" fontId="5" fillId="18" borderId="0" xfId="0" applyFont="1" applyFill="1" applyAlignment="1" applyProtection="1">
      <alignment horizontal="left"/>
      <protection/>
    </xf>
    <xf numFmtId="0" fontId="0" fillId="19" borderId="0" xfId="0" applyFill="1" applyAlignment="1" applyProtection="1">
      <alignment/>
      <protection/>
    </xf>
    <xf numFmtId="0" fontId="0" fillId="19" borderId="0" xfId="0" applyFont="1" applyFill="1" applyAlignment="1" applyProtection="1">
      <alignment/>
      <protection/>
    </xf>
    <xf numFmtId="0" fontId="0" fillId="19" borderId="0" xfId="0" applyFill="1" applyAlignment="1">
      <alignment/>
    </xf>
    <xf numFmtId="0" fontId="8" fillId="19" borderId="0" xfId="0" applyFont="1" applyFill="1" applyAlignment="1" applyProtection="1">
      <alignment horizontal="left"/>
      <protection/>
    </xf>
    <xf numFmtId="0" fontId="1" fillId="19" borderId="0" xfId="0" applyFont="1" applyFill="1" applyAlignment="1" applyProtection="1">
      <alignment horizontal="center"/>
      <protection/>
    </xf>
    <xf numFmtId="0" fontId="0" fillId="19" borderId="0" xfId="0" applyFill="1" applyAlignment="1" applyProtection="1">
      <alignment horizontal="center"/>
      <protection/>
    </xf>
    <xf numFmtId="41" fontId="1" fillId="19" borderId="0" xfId="47" applyFont="1" applyFill="1" applyAlignment="1" applyProtection="1">
      <alignment/>
      <protection/>
    </xf>
    <xf numFmtId="0" fontId="6" fillId="19" borderId="0" xfId="0" applyFont="1" applyFill="1" applyAlignment="1" applyProtection="1">
      <alignment/>
      <protection/>
    </xf>
    <xf numFmtId="0" fontId="1" fillId="19" borderId="0" xfId="0" applyFont="1" applyFill="1" applyAlignment="1" applyProtection="1">
      <alignment/>
      <protection/>
    </xf>
    <xf numFmtId="0" fontId="9" fillId="19" borderId="0" xfId="0" applyFont="1" applyFill="1" applyAlignment="1" applyProtection="1">
      <alignment horizontal="left"/>
      <protection/>
    </xf>
    <xf numFmtId="0" fontId="0" fillId="20" borderId="0" xfId="0" applyFill="1" applyAlignment="1" applyProtection="1">
      <alignment/>
      <protection/>
    </xf>
    <xf numFmtId="41" fontId="0" fillId="20" borderId="0" xfId="47" applyFont="1" applyFill="1" applyAlignment="1" applyProtection="1">
      <alignment/>
      <protection/>
    </xf>
    <xf numFmtId="41" fontId="0" fillId="20" borderId="0" xfId="0" applyNumberFormat="1" applyFill="1" applyAlignment="1" applyProtection="1">
      <alignment/>
      <protection/>
    </xf>
    <xf numFmtId="180" fontId="0" fillId="20" borderId="0" xfId="0" applyNumberFormat="1" applyFill="1" applyAlignment="1" applyProtection="1">
      <alignment/>
      <protection/>
    </xf>
    <xf numFmtId="0" fontId="2" fillId="20" borderId="0" xfId="0" applyFont="1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41" fontId="0" fillId="0" borderId="0" xfId="47" applyFont="1" applyAlignment="1" applyProtection="1">
      <alignment horizontal="center"/>
      <protection/>
    </xf>
    <xf numFmtId="41" fontId="11" fillId="0" borderId="0" xfId="0" applyNumberFormat="1" applyFont="1" applyAlignment="1" applyProtection="1">
      <alignment horizontal="center"/>
      <protection/>
    </xf>
    <xf numFmtId="0" fontId="10" fillId="9" borderId="0" xfId="0" applyFont="1" applyFill="1" applyAlignment="1" applyProtection="1">
      <alignment/>
      <protection/>
    </xf>
    <xf numFmtId="173" fontId="0" fillId="20" borderId="0" xfId="0" applyNumberFormat="1" applyFill="1" applyAlignment="1" applyProtection="1">
      <alignment/>
      <protection/>
    </xf>
    <xf numFmtId="182" fontId="0" fillId="20" borderId="0" xfId="0" applyNumberFormat="1" applyFill="1" applyAlignment="1" applyProtection="1">
      <alignment/>
      <protection/>
    </xf>
    <xf numFmtId="0" fontId="7" fillId="18" borderId="0" xfId="0" applyFont="1" applyFill="1" applyAlignment="1" applyProtection="1">
      <alignment horizontal="left"/>
      <protection/>
    </xf>
    <xf numFmtId="0" fontId="15" fillId="9" borderId="0" xfId="0" applyFont="1" applyFill="1" applyAlignment="1" applyProtection="1">
      <alignment/>
      <protection/>
    </xf>
    <xf numFmtId="0" fontId="1" fillId="9" borderId="0" xfId="0" applyFont="1" applyFill="1" applyAlignment="1" applyProtection="1">
      <alignment/>
      <protection/>
    </xf>
    <xf numFmtId="41" fontId="6" fillId="19" borderId="0" xfId="47" applyFont="1" applyFill="1" applyAlignment="1" applyProtection="1">
      <alignment/>
      <protection/>
    </xf>
    <xf numFmtId="180" fontId="0" fillId="19" borderId="0" xfId="47" applyNumberFormat="1" applyFont="1" applyFill="1" applyAlignment="1" applyProtection="1">
      <alignment/>
      <protection/>
    </xf>
    <xf numFmtId="180" fontId="1" fillId="19" borderId="0" xfId="47" applyNumberFormat="1" applyFont="1" applyFill="1" applyAlignment="1" applyProtection="1">
      <alignment/>
      <protection/>
    </xf>
    <xf numFmtId="180" fontId="6" fillId="19" borderId="0" xfId="47" applyNumberFormat="1" applyFont="1" applyFill="1" applyAlignment="1" applyProtection="1">
      <alignment/>
      <protection/>
    </xf>
    <xf numFmtId="10" fontId="0" fillId="19" borderId="0" xfId="51" applyNumberFormat="1" applyFont="1" applyFill="1" applyAlignment="1" applyProtection="1">
      <alignment/>
      <protection/>
    </xf>
    <xf numFmtId="180" fontId="0" fillId="19" borderId="0" xfId="47" applyNumberFormat="1" applyFont="1" applyFill="1" applyAlignment="1" applyProtection="1">
      <alignment/>
      <protection/>
    </xf>
    <xf numFmtId="180" fontId="0" fillId="0" borderId="0" xfId="47" applyNumberFormat="1" applyFont="1" applyAlignment="1" applyProtection="1">
      <alignment horizontal="center"/>
      <protection/>
    </xf>
    <xf numFmtId="10" fontId="0" fillId="0" borderId="0" xfId="51" applyNumberFormat="1" applyFont="1" applyAlignment="1" applyProtection="1">
      <alignment/>
      <protection/>
    </xf>
    <xf numFmtId="180" fontId="1" fillId="0" borderId="0" xfId="47" applyNumberFormat="1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180" fontId="6" fillId="0" borderId="0" xfId="47" applyNumberFormat="1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180" fontId="0" fillId="19" borderId="0" xfId="47" applyNumberFormat="1" applyFill="1" applyAlignment="1" applyProtection="1">
      <alignment/>
      <protection/>
    </xf>
    <xf numFmtId="41" fontId="0" fillId="19" borderId="0" xfId="47" applyFill="1" applyAlignment="1" applyProtection="1">
      <alignment/>
      <protection/>
    </xf>
    <xf numFmtId="10" fontId="0" fillId="19" borderId="0" xfId="51" applyNumberFormat="1" applyFont="1" applyFill="1" applyAlignment="1" applyProtection="1">
      <alignment/>
      <protection/>
    </xf>
    <xf numFmtId="41" fontId="0" fillId="20" borderId="0" xfId="47" applyFill="1" applyAlignment="1" applyProtection="1">
      <alignment/>
      <protection/>
    </xf>
    <xf numFmtId="41" fontId="0" fillId="20" borderId="0" xfId="47" applyFont="1" applyFill="1" applyAlignment="1" applyProtection="1">
      <alignment/>
      <protection/>
    </xf>
    <xf numFmtId="14" fontId="0" fillId="19" borderId="0" xfId="0" applyNumberFormat="1" applyFill="1" applyAlignment="1" applyProtection="1">
      <alignment/>
      <protection/>
    </xf>
    <xf numFmtId="0" fontId="0" fillId="20" borderId="0" xfId="0" applyNumberFormat="1" applyFill="1" applyAlignment="1" applyProtection="1">
      <alignment/>
      <protection/>
    </xf>
    <xf numFmtId="41" fontId="0" fillId="19" borderId="0" xfId="0" applyNumberFormat="1" applyFill="1" applyAlignment="1" applyProtection="1">
      <alignment/>
      <protection/>
    </xf>
    <xf numFmtId="0" fontId="2" fillId="19" borderId="0" xfId="0" applyFont="1" applyFill="1" applyAlignment="1" applyProtection="1">
      <alignment/>
      <protection/>
    </xf>
    <xf numFmtId="0" fontId="0" fillId="20" borderId="0" xfId="0" applyFill="1" applyAlignment="1">
      <alignment/>
    </xf>
    <xf numFmtId="0" fontId="0" fillId="20" borderId="0" xfId="0" applyFont="1" applyFill="1" applyAlignment="1">
      <alignment/>
    </xf>
    <xf numFmtId="0" fontId="0" fillId="20" borderId="0" xfId="0" applyFill="1" applyAlignment="1">
      <alignment horizontal="center"/>
    </xf>
    <xf numFmtId="2" fontId="0" fillId="20" borderId="0" xfId="0" applyNumberFormat="1" applyFill="1" applyAlignment="1">
      <alignment/>
    </xf>
    <xf numFmtId="2" fontId="1" fillId="20" borderId="0" xfId="0" applyNumberFormat="1" applyFont="1" applyFill="1" applyAlignment="1" applyProtection="1">
      <alignment horizontal="center"/>
      <protection/>
    </xf>
    <xf numFmtId="0" fontId="1" fillId="20" borderId="0" xfId="0" applyFont="1" applyFill="1" applyAlignment="1" applyProtection="1">
      <alignment horizontal="center"/>
      <protection/>
    </xf>
    <xf numFmtId="0" fontId="3" fillId="20" borderId="0" xfId="0" applyFont="1" applyFill="1" applyAlignment="1" applyProtection="1">
      <alignment horizontal="center"/>
      <protection/>
    </xf>
    <xf numFmtId="2" fontId="6" fillId="20" borderId="10" xfId="0" applyNumberFormat="1" applyFont="1" applyFill="1" applyBorder="1" applyAlignment="1" applyProtection="1">
      <alignment horizontal="center"/>
      <protection/>
    </xf>
    <xf numFmtId="0" fontId="6" fillId="20" borderId="0" xfId="0" applyFont="1" applyFill="1" applyAlignment="1">
      <alignment/>
    </xf>
    <xf numFmtId="1" fontId="1" fillId="20" borderId="0" xfId="0" applyNumberFormat="1" applyFont="1" applyFill="1" applyAlignment="1" applyProtection="1">
      <alignment horizontal="center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41" fontId="0" fillId="0" borderId="0" xfId="47" applyFont="1" applyAlignment="1" applyProtection="1">
      <alignment/>
      <protection/>
    </xf>
    <xf numFmtId="180" fontId="0" fillId="0" borderId="0" xfId="47" applyNumberFormat="1" applyFon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4" fontId="1" fillId="0" borderId="0" xfId="0" applyNumberFormat="1" applyFont="1" applyAlignment="1" applyProtection="1">
      <alignment/>
      <protection/>
    </xf>
    <xf numFmtId="180" fontId="1" fillId="0" borderId="0" xfId="47" applyNumberFormat="1" applyFont="1" applyAlignment="1" applyProtection="1">
      <alignment/>
      <protection/>
    </xf>
    <xf numFmtId="41" fontId="1" fillId="0" borderId="0" xfId="47" applyFont="1" applyAlignment="1" applyProtection="1">
      <alignment/>
      <protection/>
    </xf>
    <xf numFmtId="0" fontId="6" fillId="0" borderId="0" xfId="0" applyNumberFormat="1" applyFont="1" applyAlignment="1" applyProtection="1">
      <alignment/>
      <protection/>
    </xf>
    <xf numFmtId="180" fontId="6" fillId="0" borderId="0" xfId="47" applyNumberFormat="1" applyFont="1" applyAlignment="1" applyProtection="1">
      <alignment/>
      <protection/>
    </xf>
    <xf numFmtId="41" fontId="6" fillId="0" borderId="0" xfId="47" applyFont="1" applyAlignment="1" applyProtection="1">
      <alignment/>
      <protection/>
    </xf>
    <xf numFmtId="14" fontId="6" fillId="0" borderId="0" xfId="0" applyNumberFormat="1" applyFont="1" applyAlignment="1" applyProtection="1">
      <alignment/>
      <protection/>
    </xf>
    <xf numFmtId="0" fontId="0" fillId="18" borderId="0" xfId="0" applyFill="1" applyAlignment="1">
      <alignment/>
    </xf>
    <xf numFmtId="0" fontId="17" fillId="18" borderId="0" xfId="0" applyFont="1" applyFill="1" applyAlignment="1">
      <alignment/>
    </xf>
    <xf numFmtId="0" fontId="0" fillId="19" borderId="10" xfId="0" applyFill="1" applyBorder="1" applyAlignment="1">
      <alignment/>
    </xf>
    <xf numFmtId="0" fontId="0" fillId="19" borderId="10" xfId="0" applyFill="1" applyBorder="1" applyAlignment="1">
      <alignment horizontal="center"/>
    </xf>
    <xf numFmtId="0" fontId="0" fillId="20" borderId="10" xfId="0" applyFill="1" applyBorder="1" applyAlignment="1">
      <alignment/>
    </xf>
    <xf numFmtId="0" fontId="0" fillId="20" borderId="10" xfId="0" applyFill="1" applyBorder="1" applyAlignment="1">
      <alignment horizontal="center"/>
    </xf>
    <xf numFmtId="0" fontId="1" fillId="19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180" fontId="0" fillId="19" borderId="0" xfId="47" applyNumberFormat="1" applyFont="1" applyFill="1" applyAlignment="1" applyProtection="1">
      <alignment/>
      <protection/>
    </xf>
    <xf numFmtId="0" fontId="20" fillId="18" borderId="0" xfId="0" applyFont="1" applyFill="1" applyAlignment="1">
      <alignment/>
    </xf>
    <xf numFmtId="41" fontId="10" fillId="19" borderId="11" xfId="47" applyFont="1" applyFill="1" applyBorder="1" applyAlignment="1" applyProtection="1">
      <alignment horizontal="left"/>
      <protection/>
    </xf>
    <xf numFmtId="0" fontId="1" fillId="19" borderId="10" xfId="0" applyFont="1" applyFill="1" applyBorder="1" applyAlignment="1" applyProtection="1">
      <alignment horizontal="center"/>
      <protection/>
    </xf>
    <xf numFmtId="41" fontId="0" fillId="19" borderId="10" xfId="47" applyFill="1" applyBorder="1" applyAlignment="1" applyProtection="1">
      <alignment horizontal="center"/>
      <protection/>
    </xf>
    <xf numFmtId="0" fontId="6" fillId="19" borderId="0" xfId="0" applyFont="1" applyFill="1" applyAlignment="1">
      <alignment/>
    </xf>
    <xf numFmtId="0" fontId="14" fillId="19" borderId="0" xfId="0" applyFont="1" applyFill="1" applyAlignment="1">
      <alignment horizontal="center"/>
    </xf>
    <xf numFmtId="0" fontId="0" fillId="19" borderId="0" xfId="0" applyFont="1" applyFill="1" applyAlignment="1">
      <alignment/>
    </xf>
    <xf numFmtId="0" fontId="0" fillId="19" borderId="0" xfId="0" applyFont="1" applyFill="1" applyAlignment="1">
      <alignment horizontal="left"/>
    </xf>
    <xf numFmtId="0" fontId="11" fillId="19" borderId="0" xfId="0" applyFont="1" applyFill="1" applyAlignment="1">
      <alignment horizontal="right"/>
    </xf>
    <xf numFmtId="0" fontId="2" fillId="7" borderId="10" xfId="0" applyFont="1" applyFill="1" applyBorder="1" applyAlignment="1" applyProtection="1">
      <alignment/>
      <protection locked="0"/>
    </xf>
    <xf numFmtId="0" fontId="1" fillId="7" borderId="10" xfId="0" applyFont="1" applyFill="1" applyBorder="1" applyAlignment="1" applyProtection="1">
      <alignment/>
      <protection locked="0"/>
    </xf>
    <xf numFmtId="0" fontId="0" fillId="7" borderId="10" xfId="0" applyFill="1" applyBorder="1" applyAlignment="1" applyProtection="1">
      <alignment/>
      <protection locked="0"/>
    </xf>
    <xf numFmtId="184" fontId="0" fillId="7" borderId="10" xfId="0" applyNumberFormat="1" applyFill="1" applyBorder="1" applyAlignment="1" applyProtection="1">
      <alignment horizontal="center"/>
      <protection locked="0"/>
    </xf>
    <xf numFmtId="180" fontId="0" fillId="7" borderId="10" xfId="47" applyNumberFormat="1" applyFill="1" applyBorder="1" applyAlignment="1" applyProtection="1">
      <alignment horizontal="center"/>
      <protection locked="0"/>
    </xf>
    <xf numFmtId="0" fontId="1" fillId="9" borderId="0" xfId="0" applyFont="1" applyFill="1" applyAlignment="1" applyProtection="1">
      <alignment horizontal="center"/>
      <protection/>
    </xf>
    <xf numFmtId="180" fontId="0" fillId="19" borderId="12" xfId="47" applyNumberFormat="1" applyFont="1" applyFill="1" applyBorder="1" applyAlignment="1" applyProtection="1">
      <alignment/>
      <protection/>
    </xf>
    <xf numFmtId="180" fontId="0" fillId="19" borderId="13" xfId="47" applyNumberFormat="1" applyFont="1" applyFill="1" applyBorder="1" applyAlignment="1" applyProtection="1">
      <alignment/>
      <protection/>
    </xf>
    <xf numFmtId="0" fontId="6" fillId="19" borderId="0" xfId="0" applyFont="1" applyFill="1" applyAlignment="1">
      <alignment horizontal="right"/>
    </xf>
    <xf numFmtId="1" fontId="0" fillId="19" borderId="0" xfId="0" applyNumberFormat="1" applyFill="1" applyAlignment="1" applyProtection="1">
      <alignment/>
      <protection/>
    </xf>
    <xf numFmtId="0" fontId="0" fillId="19" borderId="14" xfId="0" applyFill="1" applyBorder="1" applyAlignment="1">
      <alignment/>
    </xf>
    <xf numFmtId="0" fontId="0" fillId="19" borderId="14" xfId="0" applyFill="1" applyBorder="1" applyAlignment="1">
      <alignment horizontal="center"/>
    </xf>
    <xf numFmtId="0" fontId="0" fillId="19" borderId="13" xfId="0" applyFill="1" applyBorder="1" applyAlignment="1">
      <alignment/>
    </xf>
    <xf numFmtId="0" fontId="0" fillId="19" borderId="13" xfId="0" applyFill="1" applyBorder="1" applyAlignment="1">
      <alignment horizontal="center"/>
    </xf>
    <xf numFmtId="0" fontId="0" fillId="19" borderId="15" xfId="0" applyFill="1" applyBorder="1" applyAlignment="1">
      <alignment/>
    </xf>
    <xf numFmtId="4" fontId="0" fillId="19" borderId="14" xfId="0" applyNumberFormat="1" applyFill="1" applyBorder="1" applyAlignment="1">
      <alignment horizontal="center"/>
    </xf>
    <xf numFmtId="4" fontId="0" fillId="19" borderId="10" xfId="0" applyNumberFormat="1" applyFill="1" applyBorder="1" applyAlignment="1">
      <alignment horizontal="center"/>
    </xf>
    <xf numFmtId="0" fontId="0" fillId="9" borderId="16" xfId="0" applyFill="1" applyBorder="1" applyAlignment="1">
      <alignment/>
    </xf>
    <xf numFmtId="0" fontId="0" fillId="9" borderId="17" xfId="0" applyFill="1" applyBorder="1" applyAlignment="1">
      <alignment/>
    </xf>
    <xf numFmtId="0" fontId="16" fillId="19" borderId="0" xfId="0" applyFont="1" applyFill="1" applyAlignment="1">
      <alignment/>
    </xf>
    <xf numFmtId="0" fontId="0" fillId="19" borderId="18" xfId="0" applyFill="1" applyBorder="1" applyAlignment="1" applyProtection="1">
      <alignment horizontal="center"/>
      <protection/>
    </xf>
    <xf numFmtId="0" fontId="0" fillId="19" borderId="16" xfId="0" applyFill="1" applyBorder="1" applyAlignment="1" applyProtection="1">
      <alignment horizontal="center"/>
      <protection/>
    </xf>
    <xf numFmtId="0" fontId="0" fillId="19" borderId="19" xfId="0" applyFill="1" applyBorder="1" applyAlignment="1" applyProtection="1">
      <alignment horizontal="center"/>
      <protection/>
    </xf>
    <xf numFmtId="0" fontId="0" fillId="19" borderId="15" xfId="0" applyFill="1" applyBorder="1" applyAlignment="1" applyProtection="1">
      <alignment horizontal="center"/>
      <protection/>
    </xf>
    <xf numFmtId="0" fontId="0" fillId="19" borderId="20" xfId="0" applyFill="1" applyBorder="1" applyAlignment="1" applyProtection="1">
      <alignment horizontal="center"/>
      <protection/>
    </xf>
    <xf numFmtId="0" fontId="1" fillId="19" borderId="17" xfId="0" applyFont="1" applyFill="1" applyBorder="1" applyAlignment="1" applyProtection="1">
      <alignment horizontal="center"/>
      <protection/>
    </xf>
    <xf numFmtId="43" fontId="0" fillId="19" borderId="10" xfId="46" applyFont="1" applyFill="1" applyBorder="1" applyAlignment="1" applyProtection="1">
      <alignment/>
      <protection/>
    </xf>
    <xf numFmtId="180" fontId="0" fillId="19" borderId="10" xfId="47" applyNumberFormat="1" applyFont="1" applyFill="1" applyBorder="1" applyAlignment="1" applyProtection="1">
      <alignment/>
      <protection/>
    </xf>
    <xf numFmtId="0" fontId="0" fillId="19" borderId="10" xfId="0" applyFill="1" applyBorder="1" applyAlignment="1" applyProtection="1">
      <alignment horizontal="center"/>
      <protection/>
    </xf>
    <xf numFmtId="0" fontId="0" fillId="19" borderId="10" xfId="0" applyFill="1" applyBorder="1" applyAlignment="1" applyProtection="1">
      <alignment/>
      <protection/>
    </xf>
    <xf numFmtId="0" fontId="0" fillId="19" borderId="0" xfId="0" applyFont="1" applyFill="1" applyAlignment="1">
      <alignment horizontal="right"/>
    </xf>
    <xf numFmtId="43" fontId="1" fillId="19" borderId="10" xfId="46" applyFont="1" applyFill="1" applyBorder="1" applyAlignment="1" applyProtection="1">
      <alignment horizontal="center"/>
      <protection/>
    </xf>
    <xf numFmtId="2" fontId="0" fillId="19" borderId="10" xfId="0" applyNumberFormat="1" applyFill="1" applyBorder="1" applyAlignment="1" applyProtection="1">
      <alignment/>
      <protection/>
    </xf>
    <xf numFmtId="0" fontId="1" fillId="19" borderId="10" xfId="0" applyFont="1" applyFill="1" applyBorder="1" applyAlignment="1" applyProtection="1">
      <alignment/>
      <protection/>
    </xf>
    <xf numFmtId="43" fontId="1" fillId="19" borderId="10" xfId="46" applyFont="1" applyFill="1" applyBorder="1" applyAlignment="1">
      <alignment/>
    </xf>
    <xf numFmtId="43" fontId="0" fillId="19" borderId="10" xfId="0" applyNumberFormat="1" applyFill="1" applyBorder="1" applyAlignment="1">
      <alignment/>
    </xf>
    <xf numFmtId="0" fontId="0" fillId="9" borderId="0" xfId="0" applyFill="1" applyAlignment="1" applyProtection="1">
      <alignment horizontal="left"/>
      <protection/>
    </xf>
    <xf numFmtId="0" fontId="0" fillId="9" borderId="0" xfId="0" applyFont="1" applyFill="1" applyAlignment="1" applyProtection="1">
      <alignment horizontal="center"/>
      <protection/>
    </xf>
    <xf numFmtId="14" fontId="0" fillId="7" borderId="21" xfId="0" applyNumberFormat="1" applyFill="1" applyBorder="1" applyAlignment="1" applyProtection="1">
      <alignment horizontal="center"/>
      <protection locked="0"/>
    </xf>
    <xf numFmtId="0" fontId="0" fillId="7" borderId="21" xfId="0" applyFill="1" applyBorder="1" applyAlignment="1" applyProtection="1">
      <alignment horizontal="center"/>
      <protection locked="0"/>
    </xf>
    <xf numFmtId="180" fontId="0" fillId="19" borderId="21" xfId="47" applyNumberFormat="1" applyFont="1" applyFill="1" applyBorder="1" applyAlignment="1" applyProtection="1">
      <alignment horizontal="center"/>
      <protection/>
    </xf>
    <xf numFmtId="0" fontId="0" fillId="9" borderId="10" xfId="0" applyFill="1" applyBorder="1" applyAlignment="1" applyProtection="1">
      <alignment/>
      <protection/>
    </xf>
    <xf numFmtId="0" fontId="0" fillId="9" borderId="11" xfId="0" applyFill="1" applyBorder="1" applyAlignment="1" applyProtection="1">
      <alignment/>
      <protection/>
    </xf>
    <xf numFmtId="0" fontId="0" fillId="9" borderId="22" xfId="0" applyFill="1" applyBorder="1" applyAlignment="1" applyProtection="1">
      <alignment horizontal="center"/>
      <protection/>
    </xf>
    <xf numFmtId="0" fontId="0" fillId="9" borderId="21" xfId="0" applyFill="1" applyBorder="1" applyAlignment="1" applyProtection="1">
      <alignment/>
      <protection/>
    </xf>
    <xf numFmtId="0" fontId="0" fillId="9" borderId="11" xfId="0" applyFont="1" applyFill="1" applyBorder="1" applyAlignment="1" applyProtection="1">
      <alignment/>
      <protection/>
    </xf>
    <xf numFmtId="43" fontId="0" fillId="7" borderId="21" xfId="46" applyFont="1" applyFill="1" applyBorder="1" applyAlignment="1" applyProtection="1">
      <alignment horizontal="right"/>
      <protection locked="0"/>
    </xf>
    <xf numFmtId="0" fontId="0" fillId="20" borderId="18" xfId="0" applyFill="1" applyBorder="1" applyAlignment="1" applyProtection="1">
      <alignment/>
      <protection/>
    </xf>
    <xf numFmtId="0" fontId="0" fillId="20" borderId="23" xfId="0" applyFill="1" applyBorder="1" applyAlignment="1" applyProtection="1">
      <alignment/>
      <protection/>
    </xf>
    <xf numFmtId="0" fontId="0" fillId="20" borderId="16" xfId="0" applyFill="1" applyBorder="1" applyAlignment="1" applyProtection="1">
      <alignment/>
      <protection/>
    </xf>
    <xf numFmtId="0" fontId="0" fillId="20" borderId="19" xfId="0" applyFill="1" applyBorder="1" applyAlignment="1" applyProtection="1">
      <alignment/>
      <protection/>
    </xf>
    <xf numFmtId="0" fontId="0" fillId="20" borderId="0" xfId="0" applyFill="1" applyBorder="1" applyAlignment="1" applyProtection="1">
      <alignment/>
      <protection/>
    </xf>
    <xf numFmtId="0" fontId="0" fillId="20" borderId="15" xfId="0" applyFill="1" applyBorder="1" applyAlignment="1" applyProtection="1">
      <alignment/>
      <protection/>
    </xf>
    <xf numFmtId="0" fontId="0" fillId="20" borderId="20" xfId="0" applyFill="1" applyBorder="1" applyAlignment="1" applyProtection="1">
      <alignment/>
      <protection/>
    </xf>
    <xf numFmtId="0" fontId="0" fillId="20" borderId="24" xfId="0" applyFill="1" applyBorder="1" applyAlignment="1" applyProtection="1">
      <alignment/>
      <protection/>
    </xf>
    <xf numFmtId="0" fontId="0" fillId="20" borderId="17" xfId="0" applyFill="1" applyBorder="1" applyAlignment="1" applyProtection="1">
      <alignment/>
      <protection/>
    </xf>
    <xf numFmtId="41" fontId="0" fillId="19" borderId="18" xfId="47" applyFont="1" applyFill="1" applyBorder="1" applyAlignment="1" applyProtection="1">
      <alignment/>
      <protection/>
    </xf>
    <xf numFmtId="0" fontId="0" fillId="19" borderId="16" xfId="0" applyFill="1" applyBorder="1" applyAlignment="1" applyProtection="1">
      <alignment/>
      <protection/>
    </xf>
    <xf numFmtId="43" fontId="0" fillId="19" borderId="20" xfId="46" applyFont="1" applyFill="1" applyBorder="1" applyAlignment="1" applyProtection="1">
      <alignment/>
      <protection/>
    </xf>
    <xf numFmtId="0" fontId="0" fillId="19" borderId="17" xfId="0" applyFill="1" applyBorder="1" applyAlignment="1" applyProtection="1">
      <alignment/>
      <protection/>
    </xf>
    <xf numFmtId="0" fontId="0" fillId="19" borderId="11" xfId="0" applyFill="1" applyBorder="1" applyAlignment="1">
      <alignment/>
    </xf>
    <xf numFmtId="0" fontId="0" fillId="19" borderId="22" xfId="0" applyFill="1" applyBorder="1" applyAlignment="1">
      <alignment/>
    </xf>
    <xf numFmtId="0" fontId="0" fillId="19" borderId="21" xfId="0" applyFill="1" applyBorder="1" applyAlignment="1">
      <alignment/>
    </xf>
    <xf numFmtId="0" fontId="0" fillId="19" borderId="12" xfId="0" applyFill="1" applyBorder="1" applyAlignment="1" quotePrefix="1">
      <alignment/>
    </xf>
    <xf numFmtId="0" fontId="0" fillId="19" borderId="12" xfId="0" applyFill="1" applyBorder="1" applyAlignment="1">
      <alignment/>
    </xf>
    <xf numFmtId="43" fontId="0" fillId="7" borderId="21" xfId="46" applyFont="1" applyFill="1" applyBorder="1" applyAlignment="1" applyProtection="1">
      <alignment horizontal="center"/>
      <protection locked="0"/>
    </xf>
    <xf numFmtId="43" fontId="0" fillId="20" borderId="11" xfId="46" applyFont="1" applyFill="1" applyBorder="1" applyAlignment="1" applyProtection="1">
      <alignment horizontal="center"/>
      <protection locked="0"/>
    </xf>
    <xf numFmtId="43" fontId="2" fillId="19" borderId="10" xfId="0" applyNumberFormat="1" applyFont="1" applyFill="1" applyBorder="1" applyAlignment="1">
      <alignment/>
    </xf>
    <xf numFmtId="41" fontId="0" fillId="19" borderId="10" xfId="47" applyFont="1" applyFill="1" applyBorder="1" applyAlignment="1" applyProtection="1">
      <alignment/>
      <protection/>
    </xf>
    <xf numFmtId="41" fontId="0" fillId="20" borderId="11" xfId="47" applyFont="1" applyFill="1" applyBorder="1" applyAlignment="1" applyProtection="1">
      <alignment/>
      <protection/>
    </xf>
    <xf numFmtId="43" fontId="0" fillId="20" borderId="21" xfId="46" applyFont="1" applyFill="1" applyBorder="1" applyAlignment="1" applyProtection="1">
      <alignment/>
      <protection/>
    </xf>
    <xf numFmtId="206" fontId="0" fillId="20" borderId="15" xfId="46" applyNumberFormat="1" applyFont="1" applyFill="1" applyBorder="1" applyAlignment="1" applyProtection="1">
      <alignment/>
      <protection/>
    </xf>
    <xf numFmtId="206" fontId="0" fillId="20" borderId="17" xfId="46" applyNumberFormat="1" applyFont="1" applyFill="1" applyBorder="1" applyAlignment="1" applyProtection="1">
      <alignment/>
      <protection/>
    </xf>
    <xf numFmtId="0" fontId="1" fillId="19" borderId="20" xfId="0" applyFont="1" applyFill="1" applyBorder="1" applyAlignment="1" applyProtection="1">
      <alignment/>
      <protection/>
    </xf>
    <xf numFmtId="0" fontId="1" fillId="19" borderId="17" xfId="0" applyFont="1" applyFill="1" applyBorder="1" applyAlignment="1" applyProtection="1">
      <alignment/>
      <protection/>
    </xf>
    <xf numFmtId="0" fontId="0" fillId="19" borderId="16" xfId="0" applyFont="1" applyFill="1" applyBorder="1" applyAlignment="1" applyProtection="1">
      <alignment/>
      <protection/>
    </xf>
    <xf numFmtId="0" fontId="0" fillId="19" borderId="18" xfId="0" applyFont="1" applyFill="1" applyBorder="1" applyAlignment="1" applyProtection="1">
      <alignment/>
      <protection/>
    </xf>
    <xf numFmtId="41" fontId="15" fillId="19" borderId="10" xfId="47" applyFont="1" applyFill="1" applyBorder="1" applyAlignment="1" applyProtection="1">
      <alignment horizontal="left"/>
      <protection/>
    </xf>
    <xf numFmtId="0" fontId="0" fillId="19" borderId="11" xfId="0" applyFill="1" applyBorder="1" applyAlignment="1" applyProtection="1">
      <alignment horizontal="center"/>
      <protection/>
    </xf>
    <xf numFmtId="14" fontId="0" fillId="19" borderId="10" xfId="0" applyNumberFormat="1" applyFill="1" applyBorder="1" applyAlignment="1" applyProtection="1">
      <alignment/>
      <protection/>
    </xf>
    <xf numFmtId="43" fontId="0" fillId="19" borderId="10" xfId="0" applyNumberFormat="1" applyFont="1" applyFill="1" applyBorder="1" applyAlignment="1">
      <alignment/>
    </xf>
    <xf numFmtId="0" fontId="20" fillId="18" borderId="0" xfId="0" applyFont="1" applyFill="1" applyAlignment="1" applyProtection="1">
      <alignment horizontal="left"/>
      <protection/>
    </xf>
    <xf numFmtId="209" fontId="16" fillId="0" borderId="0" xfId="0" applyNumberFormat="1" applyFont="1" applyAlignment="1" applyProtection="1">
      <alignment horizontal="left"/>
      <protection/>
    </xf>
    <xf numFmtId="0" fontId="1" fillId="19" borderId="0" xfId="0" applyFont="1" applyFill="1" applyAlignment="1">
      <alignment/>
    </xf>
    <xf numFmtId="0" fontId="6" fillId="19" borderId="0" xfId="0" applyFont="1" applyFill="1" applyAlignment="1">
      <alignment horizontal="left"/>
    </xf>
    <xf numFmtId="43" fontId="0" fillId="19" borderId="0" xfId="46" applyFont="1" applyFill="1" applyAlignment="1" applyProtection="1">
      <alignment/>
      <protection/>
    </xf>
    <xf numFmtId="43" fontId="0" fillId="0" borderId="0" xfId="46" applyFont="1" applyAlignment="1" applyProtection="1">
      <alignment/>
      <protection/>
    </xf>
    <xf numFmtId="43" fontId="0" fillId="19" borderId="10" xfId="46" applyFont="1" applyFill="1" applyBorder="1" applyAlignment="1">
      <alignment horizontal="center"/>
    </xf>
    <xf numFmtId="0" fontId="1" fillId="19" borderId="10" xfId="0" applyFont="1" applyFill="1" applyBorder="1" applyAlignment="1">
      <alignment/>
    </xf>
    <xf numFmtId="43" fontId="0" fillId="19" borderId="10" xfId="0" applyNumberFormat="1" applyFill="1" applyBorder="1" applyAlignment="1" applyProtection="1">
      <alignment/>
      <protection/>
    </xf>
    <xf numFmtId="0" fontId="16" fillId="20" borderId="0" xfId="0" applyFont="1" applyFill="1" applyAlignment="1">
      <alignment/>
    </xf>
    <xf numFmtId="0" fontId="1" fillId="20" borderId="0" xfId="0" applyFont="1" applyFill="1" applyAlignment="1">
      <alignment/>
    </xf>
    <xf numFmtId="0" fontId="0" fillId="19" borderId="11" xfId="0" applyFill="1" applyBorder="1" applyAlignment="1" applyProtection="1">
      <alignment/>
      <protection/>
    </xf>
    <xf numFmtId="0" fontId="22" fillId="19" borderId="0" xfId="0" applyFont="1" applyFill="1" applyAlignment="1">
      <alignment horizontal="left"/>
    </xf>
    <xf numFmtId="43" fontId="1" fillId="9" borderId="0" xfId="46" applyFont="1" applyFill="1" applyAlignment="1" applyProtection="1">
      <alignment/>
      <protection/>
    </xf>
    <xf numFmtId="43" fontId="0" fillId="19" borderId="0" xfId="46" applyFont="1" applyFill="1" applyAlignment="1" applyProtection="1">
      <alignment/>
      <protection/>
    </xf>
    <xf numFmtId="43" fontId="0" fillId="19" borderId="10" xfId="46" applyFont="1" applyFill="1" applyBorder="1" applyAlignment="1" applyProtection="1">
      <alignment/>
      <protection/>
    </xf>
    <xf numFmtId="43" fontId="0" fillId="19" borderId="0" xfId="0" applyNumberFormat="1" applyFill="1" applyAlignment="1">
      <alignment/>
    </xf>
    <xf numFmtId="0" fontId="0" fillId="10" borderId="0" xfId="0" applyFill="1" applyAlignment="1">
      <alignment/>
    </xf>
    <xf numFmtId="0" fontId="1" fillId="10" borderId="0" xfId="0" applyFont="1" applyFill="1" applyAlignment="1">
      <alignment/>
    </xf>
    <xf numFmtId="0" fontId="1" fillId="10" borderId="0" xfId="0" applyFont="1" applyFill="1" applyAlignment="1">
      <alignment horizontal="center"/>
    </xf>
    <xf numFmtId="43" fontId="6" fillId="10" borderId="0" xfId="0" applyNumberFormat="1" applyFont="1" applyFill="1" applyAlignment="1">
      <alignment/>
    </xf>
    <xf numFmtId="180" fontId="6" fillId="10" borderId="0" xfId="0" applyNumberFormat="1" applyFont="1" applyFill="1" applyAlignment="1">
      <alignment/>
    </xf>
    <xf numFmtId="43" fontId="1" fillId="10" borderId="0" xfId="0" applyNumberFormat="1" applyFont="1" applyFill="1" applyAlignment="1">
      <alignment horizontal="center"/>
    </xf>
    <xf numFmtId="180" fontId="1" fillId="10" borderId="0" xfId="0" applyNumberFormat="1" applyFont="1" applyFill="1" applyAlignment="1">
      <alignment horizontal="center"/>
    </xf>
    <xf numFmtId="43" fontId="1" fillId="10" borderId="0" xfId="0" applyNumberFormat="1" applyFont="1" applyFill="1" applyAlignment="1">
      <alignment/>
    </xf>
    <xf numFmtId="180" fontId="1" fillId="10" borderId="0" xfId="0" applyNumberFormat="1" applyFont="1" applyFill="1" applyAlignment="1">
      <alignment/>
    </xf>
    <xf numFmtId="43" fontId="0" fillId="19" borderId="10" xfId="46" applyFont="1" applyFill="1" applyBorder="1" applyAlignment="1" applyProtection="1">
      <alignment horizontal="center"/>
      <protection/>
    </xf>
    <xf numFmtId="0" fontId="0" fillId="9" borderId="0" xfId="0" applyFont="1" applyFill="1" applyAlignment="1" applyProtection="1">
      <alignment/>
      <protection/>
    </xf>
    <xf numFmtId="0" fontId="0" fillId="21" borderId="0" xfId="0" applyFont="1" applyFill="1" applyAlignment="1" applyProtection="1">
      <alignment/>
      <protection/>
    </xf>
    <xf numFmtId="43" fontId="1" fillId="21" borderId="0" xfId="46" applyFont="1" applyFill="1" applyAlignment="1" applyProtection="1">
      <alignment/>
      <protection/>
    </xf>
    <xf numFmtId="0" fontId="0" fillId="22" borderId="10" xfId="46" applyNumberFormat="1" applyFont="1" applyFill="1" applyBorder="1" applyAlignment="1" applyProtection="1">
      <alignment horizontal="center"/>
      <protection locked="0"/>
    </xf>
    <xf numFmtId="0" fontId="43" fillId="21" borderId="0" xfId="0" applyFont="1" applyFill="1" applyAlignment="1" applyProtection="1">
      <alignment horizontal="center"/>
      <protection/>
    </xf>
    <xf numFmtId="0" fontId="0" fillId="21" borderId="0" xfId="0" applyFill="1" applyAlignment="1" applyProtection="1">
      <alignment horizontal="center"/>
      <protection/>
    </xf>
    <xf numFmtId="43" fontId="0" fillId="9" borderId="0" xfId="46" applyFont="1" applyFill="1" applyAlignment="1" applyProtection="1">
      <alignment/>
      <protection/>
    </xf>
    <xf numFmtId="43" fontId="0" fillId="9" borderId="0" xfId="0" applyNumberFormat="1" applyFont="1" applyFill="1" applyAlignment="1" applyProtection="1">
      <alignment/>
      <protection/>
    </xf>
    <xf numFmtId="0" fontId="0" fillId="9" borderId="0" xfId="0" applyFont="1" applyFill="1" applyBorder="1" applyAlignment="1" applyProtection="1">
      <alignment/>
      <protection/>
    </xf>
    <xf numFmtId="0" fontId="0" fillId="9" borderId="0" xfId="0" applyFill="1" applyAlignment="1" applyProtection="1">
      <alignment/>
      <protection/>
    </xf>
    <xf numFmtId="0" fontId="0" fillId="9" borderId="10" xfId="0" applyFill="1" applyBorder="1" applyAlignment="1" applyProtection="1">
      <alignment/>
      <protection/>
    </xf>
    <xf numFmtId="43" fontId="0" fillId="9" borderId="10" xfId="46" applyFont="1" applyFill="1" applyBorder="1" applyAlignment="1" applyProtection="1">
      <alignment/>
      <protection/>
    </xf>
    <xf numFmtId="41" fontId="0" fillId="9" borderId="10" xfId="47" applyFont="1" applyFill="1" applyBorder="1" applyAlignment="1" applyProtection="1">
      <alignment/>
      <protection/>
    </xf>
    <xf numFmtId="41" fontId="0" fillId="9" borderId="11" xfId="47" applyFont="1" applyFill="1" applyBorder="1" applyAlignment="1" applyProtection="1">
      <alignment/>
      <protection/>
    </xf>
    <xf numFmtId="43" fontId="0" fillId="9" borderId="21" xfId="46" applyFont="1" applyFill="1" applyBorder="1" applyAlignment="1" applyProtection="1">
      <alignment/>
      <protection/>
    </xf>
    <xf numFmtId="0" fontId="0" fillId="9" borderId="19" xfId="0" applyFill="1" applyBorder="1" applyAlignment="1" applyProtection="1">
      <alignment/>
      <protection/>
    </xf>
    <xf numFmtId="206" fontId="0" fillId="9" borderId="15" xfId="46" applyNumberFormat="1" applyFont="1" applyFill="1" applyBorder="1" applyAlignment="1" applyProtection="1">
      <alignment/>
      <protection/>
    </xf>
    <xf numFmtId="0" fontId="0" fillId="9" borderId="20" xfId="0" applyFill="1" applyBorder="1" applyAlignment="1" applyProtection="1">
      <alignment/>
      <protection/>
    </xf>
    <xf numFmtId="206" fontId="0" fillId="9" borderId="17" xfId="46" applyNumberFormat="1" applyFont="1" applyFill="1" applyBorder="1" applyAlignment="1" applyProtection="1">
      <alignment/>
      <protection/>
    </xf>
    <xf numFmtId="0" fontId="0" fillId="9" borderId="18" xfId="0" applyFont="1" applyFill="1" applyBorder="1" applyAlignment="1" applyProtection="1">
      <alignment/>
      <protection/>
    </xf>
    <xf numFmtId="0" fontId="0" fillId="9" borderId="16" xfId="0" applyFont="1" applyFill="1" applyBorder="1" applyAlignment="1" applyProtection="1">
      <alignment/>
      <protection/>
    </xf>
    <xf numFmtId="0" fontId="1" fillId="9" borderId="20" xfId="0" applyFont="1" applyFill="1" applyBorder="1" applyAlignment="1" applyProtection="1">
      <alignment/>
      <protection/>
    </xf>
    <xf numFmtId="0" fontId="1" fillId="9" borderId="17" xfId="0" applyFont="1" applyFill="1" applyBorder="1" applyAlignment="1" applyProtection="1">
      <alignment/>
      <protection/>
    </xf>
    <xf numFmtId="14" fontId="0" fillId="10" borderId="0" xfId="0" applyNumberFormat="1" applyFont="1" applyFill="1" applyAlignment="1">
      <alignment/>
    </xf>
    <xf numFmtId="43" fontId="0" fillId="0" borderId="0" xfId="0" applyNumberFormat="1" applyAlignment="1">
      <alignment/>
    </xf>
    <xf numFmtId="0" fontId="12" fillId="19" borderId="0" xfId="36" applyFill="1" applyAlignment="1" applyProtection="1">
      <alignment/>
      <protection/>
    </xf>
    <xf numFmtId="0" fontId="25" fillId="9" borderId="0" xfId="36" applyFont="1" applyFill="1" applyAlignment="1" applyProtection="1">
      <alignment/>
      <protection/>
    </xf>
    <xf numFmtId="0" fontId="1" fillId="0" borderId="0" xfId="0" applyFont="1" applyAlignment="1">
      <alignment horizontal="left"/>
    </xf>
    <xf numFmtId="0" fontId="1" fillId="0" borderId="0" xfId="0" applyFont="1" applyAlignment="1" applyProtection="1">
      <alignment horizontal="left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5534025</xdr:colOff>
      <xdr:row>69</xdr:row>
      <xdr:rowOff>47625</xdr:rowOff>
    </xdr:from>
    <xdr:to>
      <xdr:col>1</xdr:col>
      <xdr:colOff>6581775</xdr:colOff>
      <xdr:row>72</xdr:row>
      <xdr:rowOff>133350</xdr:rowOff>
    </xdr:to>
    <xdr:pic>
      <xdr:nvPicPr>
        <xdr:cNvPr id="1" name="Picture 1" descr="by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11496675"/>
          <a:ext cx="1047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uonuscitaNScuo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truzioni"/>
      <sheetName val="Buonuscita"/>
      <sheetName val="Stipendi"/>
      <sheetName val="QuotaB"/>
      <sheetName val="Rate"/>
      <sheetName val="Servizi"/>
      <sheetName val="Riscatti"/>
      <sheetName val="Modulo1"/>
      <sheetName val="Modulo2"/>
      <sheetName val="Modulo3"/>
      <sheetName val="Modulo4"/>
      <sheetName val="BuonuscitaNScuola"/>
    </sheetNames>
    <definedNames>
      <definedName name="Torna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5"/>
  <dimension ref="A1:C74"/>
  <sheetViews>
    <sheetView tabSelected="1" zoomScalePageLayoutView="0" workbookViewId="0" topLeftCell="A1">
      <selection activeCell="B47" sqref="B47"/>
    </sheetView>
  </sheetViews>
  <sheetFormatPr defaultColWidth="9.140625" defaultRowHeight="12.75"/>
  <cols>
    <col min="1" max="1" width="4.140625" style="0" customWidth="1"/>
    <col min="2" max="2" width="98.7109375" style="0" customWidth="1"/>
    <col min="3" max="3" width="4.8515625" style="0" customWidth="1"/>
  </cols>
  <sheetData>
    <row r="1" spans="1:3" ht="12.75">
      <c r="A1" s="1"/>
      <c r="B1" s="1"/>
      <c r="C1" s="1"/>
    </row>
    <row r="2" spans="1:3" ht="18">
      <c r="A2" s="1"/>
      <c r="B2" s="106"/>
      <c r="C2" s="1"/>
    </row>
    <row r="3" spans="1:3" ht="18">
      <c r="A3" s="1"/>
      <c r="B3" s="106" t="s">
        <v>7</v>
      </c>
      <c r="C3" s="1"/>
    </row>
    <row r="4" spans="1:3" ht="12.75">
      <c r="A4" s="1"/>
      <c r="B4" s="118" t="s">
        <v>327</v>
      </c>
      <c r="C4" s="1"/>
    </row>
    <row r="5" spans="1:3" ht="12.75">
      <c r="A5" s="1"/>
      <c r="B5" s="194"/>
      <c r="C5" s="1"/>
    </row>
    <row r="6" spans="1:3" ht="12.75">
      <c r="A6" s="1"/>
      <c r="B6" s="194" t="s">
        <v>328</v>
      </c>
      <c r="C6" s="1"/>
    </row>
    <row r="7" spans="1:3" ht="12.75">
      <c r="A7" s="1"/>
      <c r="B7" s="194" t="s">
        <v>329</v>
      </c>
      <c r="C7" s="1"/>
    </row>
    <row r="8" spans="1:3" ht="12.75">
      <c r="A8" s="1"/>
      <c r="B8" s="194" t="s">
        <v>318</v>
      </c>
      <c r="C8" s="1"/>
    </row>
    <row r="9" spans="1:3" ht="15">
      <c r="A9" s="1"/>
      <c r="B9" s="203"/>
      <c r="C9" s="1"/>
    </row>
    <row r="10" spans="1:3" ht="15">
      <c r="A10" s="1"/>
      <c r="B10" s="203" t="s">
        <v>300</v>
      </c>
      <c r="C10" s="1"/>
    </row>
    <row r="11" spans="1:3" ht="15">
      <c r="A11" s="1"/>
      <c r="B11" s="203" t="s">
        <v>293</v>
      </c>
      <c r="C11" s="1"/>
    </row>
    <row r="12" spans="1:3" ht="15">
      <c r="A12" s="1"/>
      <c r="B12" s="203" t="s">
        <v>298</v>
      </c>
      <c r="C12" s="1"/>
    </row>
    <row r="13" spans="1:3" ht="15">
      <c r="A13" s="1"/>
      <c r="B13" s="203" t="s">
        <v>299</v>
      </c>
      <c r="C13" s="1"/>
    </row>
    <row r="14" spans="1:3" ht="12.75">
      <c r="A14" s="1"/>
      <c r="B14" s="23"/>
      <c r="C14" s="1"/>
    </row>
    <row r="15" spans="1:3" ht="12.75">
      <c r="A15" s="1"/>
      <c r="B15" s="23" t="s">
        <v>97</v>
      </c>
      <c r="C15" s="1"/>
    </row>
    <row r="16" spans="1:3" ht="12.75">
      <c r="A16" s="1"/>
      <c r="B16" s="23" t="s">
        <v>98</v>
      </c>
      <c r="C16" s="1"/>
    </row>
    <row r="17" spans="1:3" ht="12.75">
      <c r="A17" s="1"/>
      <c r="B17" s="23"/>
      <c r="C17" s="1"/>
    </row>
    <row r="18" spans="1:3" ht="12.75">
      <c r="A18" s="1"/>
      <c r="B18" s="23" t="s">
        <v>237</v>
      </c>
      <c r="C18" s="1"/>
    </row>
    <row r="19" spans="1:3" ht="12.75">
      <c r="A19" s="1"/>
      <c r="B19" s="23" t="s">
        <v>264</v>
      </c>
      <c r="C19" s="1"/>
    </row>
    <row r="20" spans="1:3" ht="12.75">
      <c r="A20" s="1"/>
      <c r="B20" s="23"/>
      <c r="C20" s="1"/>
    </row>
    <row r="21" spans="1:3" ht="12.75">
      <c r="A21" s="1"/>
      <c r="B21" s="23" t="s">
        <v>221</v>
      </c>
      <c r="C21" s="1"/>
    </row>
    <row r="22" spans="1:3" ht="12.75">
      <c r="A22" s="1"/>
      <c r="B22" s="23" t="s">
        <v>223</v>
      </c>
      <c r="C22" s="1"/>
    </row>
    <row r="23" spans="1:3" ht="12.75">
      <c r="A23" s="1"/>
      <c r="B23" s="23" t="s">
        <v>222</v>
      </c>
      <c r="C23" s="1"/>
    </row>
    <row r="24" spans="1:3" ht="12.75">
      <c r="A24" s="1"/>
      <c r="B24" s="23" t="s">
        <v>224</v>
      </c>
      <c r="C24" s="1"/>
    </row>
    <row r="25" spans="1:3" ht="12.75">
      <c r="A25" s="1"/>
      <c r="B25" s="193" t="s">
        <v>262</v>
      </c>
      <c r="C25" s="1"/>
    </row>
    <row r="26" spans="1:3" ht="12.75">
      <c r="A26" s="1"/>
      <c r="B26" s="193" t="s">
        <v>263</v>
      </c>
      <c r="C26" s="1"/>
    </row>
    <row r="27" spans="1:3" ht="12.75">
      <c r="A27" s="1"/>
      <c r="B27" s="105"/>
      <c r="C27" s="1"/>
    </row>
    <row r="28" spans="1:3" ht="12.75">
      <c r="A28" s="1"/>
      <c r="B28" s="23" t="s">
        <v>144</v>
      </c>
      <c r="C28" s="1"/>
    </row>
    <row r="29" spans="1:3" ht="12.75">
      <c r="A29" s="1"/>
      <c r="B29" s="23" t="s">
        <v>145</v>
      </c>
      <c r="C29" s="1"/>
    </row>
    <row r="30" spans="1:3" ht="12.75">
      <c r="A30" s="1"/>
      <c r="B30" s="23"/>
      <c r="C30" s="1"/>
    </row>
    <row r="31" spans="1:3" ht="12.75">
      <c r="A31" s="1"/>
      <c r="B31" s="23" t="s">
        <v>113</v>
      </c>
      <c r="C31" s="1"/>
    </row>
    <row r="32" spans="1:3" ht="12.75">
      <c r="A32" s="1"/>
      <c r="B32" s="23" t="s">
        <v>114</v>
      </c>
      <c r="C32" s="1"/>
    </row>
    <row r="33" spans="1:3" ht="12.75">
      <c r="A33" s="1"/>
      <c r="B33" s="23" t="s">
        <v>116</v>
      </c>
      <c r="C33" s="1"/>
    </row>
    <row r="34" spans="1:3" ht="12.75">
      <c r="A34" s="1"/>
      <c r="B34" s="23" t="s">
        <v>115</v>
      </c>
      <c r="C34" s="1"/>
    </row>
    <row r="35" spans="1:3" ht="12.75">
      <c r="A35" s="1"/>
      <c r="B35" s="23" t="s">
        <v>131</v>
      </c>
      <c r="C35" s="1"/>
    </row>
    <row r="36" spans="1:3" ht="12.75">
      <c r="A36" s="1"/>
      <c r="B36" s="23"/>
      <c r="C36" s="1"/>
    </row>
    <row r="37" spans="1:3" ht="12.75">
      <c r="A37" s="1"/>
      <c r="B37" s="23" t="s">
        <v>132</v>
      </c>
      <c r="C37" s="1"/>
    </row>
    <row r="38" spans="1:3" ht="12.75">
      <c r="A38" s="1"/>
      <c r="B38" s="23" t="s">
        <v>133</v>
      </c>
      <c r="C38" s="1"/>
    </row>
    <row r="39" spans="1:3" ht="12.75">
      <c r="A39" s="1"/>
      <c r="B39" s="23" t="s">
        <v>0</v>
      </c>
      <c r="C39" s="1"/>
    </row>
    <row r="40" spans="1:3" ht="12.75">
      <c r="A40" s="1"/>
      <c r="B40" s="23" t="s">
        <v>29</v>
      </c>
      <c r="C40" s="1"/>
    </row>
    <row r="41" spans="1:3" ht="12.75">
      <c r="A41" s="1"/>
      <c r="B41" s="107" t="s">
        <v>30</v>
      </c>
      <c r="C41" s="1"/>
    </row>
    <row r="42" spans="1:3" ht="12.75">
      <c r="A42" s="1"/>
      <c r="B42" s="23" t="s">
        <v>31</v>
      </c>
      <c r="C42" s="1"/>
    </row>
    <row r="43" spans="1:3" ht="12.75">
      <c r="A43" s="1"/>
      <c r="B43" s="23" t="s">
        <v>0</v>
      </c>
      <c r="C43" s="1"/>
    </row>
    <row r="44" spans="1:3" ht="12.75">
      <c r="A44" s="1"/>
      <c r="B44" s="107" t="s">
        <v>331</v>
      </c>
      <c r="C44" s="1"/>
    </row>
    <row r="45" spans="1:3" ht="12.75">
      <c r="A45" s="1"/>
      <c r="B45" s="23" t="s">
        <v>332</v>
      </c>
      <c r="C45" s="1"/>
    </row>
    <row r="46" spans="1:3" ht="12.75">
      <c r="A46" s="1"/>
      <c r="B46" s="107" t="s">
        <v>333</v>
      </c>
      <c r="C46" s="1"/>
    </row>
    <row r="47" spans="1:3" ht="12.75">
      <c r="A47" s="1"/>
      <c r="B47" s="23" t="s">
        <v>0</v>
      </c>
      <c r="C47" s="1"/>
    </row>
    <row r="48" spans="1:3" ht="12.75">
      <c r="A48" s="1"/>
      <c r="B48" s="243" t="s">
        <v>126</v>
      </c>
      <c r="C48" s="1"/>
    </row>
    <row r="49" spans="1:3" ht="12.75">
      <c r="A49" s="1"/>
      <c r="B49" s="23" t="s">
        <v>118</v>
      </c>
      <c r="C49" s="1"/>
    </row>
    <row r="50" spans="1:3" ht="12.75">
      <c r="A50" s="1"/>
      <c r="B50" s="23" t="s">
        <v>258</v>
      </c>
      <c r="C50" s="1"/>
    </row>
    <row r="51" spans="1:3" ht="12.75">
      <c r="A51" s="1"/>
      <c r="B51" s="23"/>
      <c r="C51" s="1"/>
    </row>
    <row r="52" spans="1:3" ht="12.75">
      <c r="A52" s="1"/>
      <c r="B52" s="243" t="s">
        <v>294</v>
      </c>
      <c r="C52" s="1"/>
    </row>
    <row r="53" spans="1:3" ht="12.75">
      <c r="A53" s="1"/>
      <c r="B53" s="23" t="s">
        <v>295</v>
      </c>
      <c r="C53" s="1"/>
    </row>
    <row r="54" spans="1:3" ht="12.75">
      <c r="A54" s="1"/>
      <c r="B54" s="23" t="s">
        <v>296</v>
      </c>
      <c r="C54" s="1"/>
    </row>
    <row r="55" spans="1:3" ht="12.75">
      <c r="A55" s="1"/>
      <c r="B55" s="23" t="s">
        <v>311</v>
      </c>
      <c r="C55" s="1"/>
    </row>
    <row r="56" spans="1:3" ht="12.75">
      <c r="A56" s="1"/>
      <c r="B56" s="23" t="s">
        <v>312</v>
      </c>
      <c r="C56" s="1"/>
    </row>
    <row r="57" spans="1:3" ht="12.75">
      <c r="A57" s="1"/>
      <c r="B57" s="23"/>
      <c r="C57" s="1"/>
    </row>
    <row r="58" spans="1:3" ht="12.75">
      <c r="A58" s="1"/>
      <c r="B58" s="243" t="s">
        <v>99</v>
      </c>
      <c r="C58" s="1"/>
    </row>
    <row r="59" spans="1:3" ht="12.75">
      <c r="A59" s="1"/>
      <c r="B59" s="107" t="s">
        <v>100</v>
      </c>
      <c r="C59" s="1"/>
    </row>
    <row r="60" spans="1:3" ht="12.75">
      <c r="A60" s="1"/>
      <c r="B60" s="107"/>
      <c r="C60" s="1"/>
    </row>
    <row r="61" spans="1:3" ht="12.75">
      <c r="A61" s="1"/>
      <c r="B61" s="243" t="s">
        <v>101</v>
      </c>
      <c r="C61" s="1"/>
    </row>
    <row r="62" spans="1:3" ht="12.75">
      <c r="A62" s="1"/>
      <c r="B62" s="23" t="s">
        <v>102</v>
      </c>
      <c r="C62" s="1"/>
    </row>
    <row r="63" spans="1:3" ht="12.75">
      <c r="A63" s="1"/>
      <c r="B63" s="23" t="s">
        <v>103</v>
      </c>
      <c r="C63" s="1"/>
    </row>
    <row r="64" spans="1:3" ht="12.75">
      <c r="A64" s="1"/>
      <c r="B64" s="23" t="s">
        <v>104</v>
      </c>
      <c r="C64" s="1"/>
    </row>
    <row r="65" spans="1:3" ht="12.75">
      <c r="A65" s="1"/>
      <c r="B65" s="108" t="s">
        <v>105</v>
      </c>
      <c r="C65" s="1"/>
    </row>
    <row r="66" spans="1:3" ht="12.75">
      <c r="A66" s="1"/>
      <c r="B66" s="108" t="s">
        <v>106</v>
      </c>
      <c r="C66" s="1"/>
    </row>
    <row r="67" spans="1:3" ht="12.75">
      <c r="A67" s="1"/>
      <c r="B67" s="108" t="s">
        <v>112</v>
      </c>
      <c r="C67" s="1"/>
    </row>
    <row r="68" spans="1:3" ht="12.75">
      <c r="A68" s="1"/>
      <c r="B68" s="108" t="s">
        <v>111</v>
      </c>
      <c r="C68" s="1"/>
    </row>
    <row r="69" spans="1:3" ht="12.75">
      <c r="A69" s="1"/>
      <c r="B69" s="108" t="s">
        <v>109</v>
      </c>
      <c r="C69" s="1"/>
    </row>
    <row r="70" spans="1:3" ht="12.75">
      <c r="A70" s="1"/>
      <c r="B70" s="108" t="s">
        <v>110</v>
      </c>
      <c r="C70" s="1"/>
    </row>
    <row r="71" spans="1:3" ht="12.75">
      <c r="A71" s="1"/>
      <c r="B71" s="108"/>
      <c r="C71" s="1"/>
    </row>
    <row r="72" spans="1:3" ht="12.75">
      <c r="A72" s="1"/>
      <c r="B72" s="140" t="s">
        <v>257</v>
      </c>
      <c r="C72" s="1"/>
    </row>
    <row r="73" spans="1:3" ht="12.75">
      <c r="A73" s="1"/>
      <c r="B73" s="109"/>
      <c r="C73" s="1"/>
    </row>
    <row r="74" spans="1:3" ht="12.75">
      <c r="A74" s="1"/>
      <c r="B74" s="1"/>
      <c r="C74" s="1"/>
    </row>
  </sheetData>
  <sheetProtection sheet="1"/>
  <hyperlinks>
    <hyperlink ref="B48" location="Buonuscita!A1" display="Buonuscita"/>
    <hyperlink ref="B52" location="Rate!A1" display="Rate"/>
    <hyperlink ref="B58" location="Servizi!A1" display="Servizi"/>
    <hyperlink ref="B61" location="Riscatti!A1" display="Riscatti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T360"/>
  <sheetViews>
    <sheetView showGridLines="0" zoomScalePageLayoutView="0" workbookViewId="0" topLeftCell="A1">
      <selection activeCell="B3" sqref="B3"/>
    </sheetView>
  </sheetViews>
  <sheetFormatPr defaultColWidth="9.140625" defaultRowHeight="12.75"/>
  <cols>
    <col min="1" max="1" width="57.421875" style="0" customWidth="1"/>
    <col min="2" max="2" width="12.421875" style="3" customWidth="1"/>
    <col min="3" max="3" width="14.28125" style="0" customWidth="1"/>
    <col min="4" max="7" width="6.7109375" style="0" customWidth="1"/>
    <col min="8" max="8" width="48.57421875" style="0" customWidth="1"/>
    <col min="9" max="9" width="3.8515625" style="0" customWidth="1"/>
    <col min="10" max="10" width="11.57421875" style="0" customWidth="1"/>
    <col min="11" max="11" width="13.7109375" style="0" customWidth="1"/>
    <col min="12" max="12" width="2.8515625" style="0" customWidth="1"/>
    <col min="13" max="13" width="7.28125" style="0" customWidth="1"/>
    <col min="14" max="14" width="12.28125" style="0" customWidth="1"/>
    <col min="15" max="15" width="10.57421875" style="0" customWidth="1"/>
  </cols>
  <sheetData>
    <row r="1" spans="1:16" ht="33">
      <c r="A1" s="20" t="s">
        <v>140</v>
      </c>
      <c r="B1" s="8"/>
      <c r="C1" s="9"/>
      <c r="D1" s="9"/>
      <c r="E1" s="9"/>
      <c r="F1" s="9"/>
      <c r="G1" s="9"/>
      <c r="H1" s="30" t="s">
        <v>141</v>
      </c>
      <c r="I1" s="24"/>
      <c r="J1" s="24"/>
      <c r="K1" s="21"/>
      <c r="L1" s="21"/>
      <c r="M1" s="21"/>
      <c r="N1" s="21"/>
      <c r="O1" s="21"/>
      <c r="P1" s="21"/>
    </row>
    <row r="2" spans="1:16" s="2" customFormat="1" ht="15.75">
      <c r="A2" s="191" t="s">
        <v>297</v>
      </c>
      <c r="B2" s="8"/>
      <c r="C2" s="9"/>
      <c r="D2" s="9"/>
      <c r="E2" s="9"/>
      <c r="F2" s="9"/>
      <c r="G2" s="9"/>
      <c r="H2" s="22"/>
      <c r="I2" s="22"/>
      <c r="J2" s="22"/>
      <c r="K2" s="22"/>
      <c r="L2" s="22"/>
      <c r="M2" s="22"/>
      <c r="N2" s="22"/>
      <c r="O2" s="21"/>
      <c r="P2" s="21"/>
    </row>
    <row r="3" spans="1:16" s="2" customFormat="1" ht="15">
      <c r="A3" s="45" t="str">
        <f>Istruzioni!B72</f>
        <v>minapoli software</v>
      </c>
      <c r="B3" s="244" t="s">
        <v>330</v>
      </c>
      <c r="C3" s="6"/>
      <c r="D3" s="6"/>
      <c r="E3" s="6"/>
      <c r="F3" s="6"/>
      <c r="G3" s="6"/>
      <c r="H3" s="22"/>
      <c r="I3" s="22"/>
      <c r="J3" s="22"/>
      <c r="K3" s="22"/>
      <c r="L3" s="22"/>
      <c r="M3" s="22"/>
      <c r="N3" s="22"/>
      <c r="O3" s="21"/>
      <c r="P3" s="21"/>
    </row>
    <row r="4" spans="1:16" ht="12.75">
      <c r="A4" s="6"/>
      <c r="B4" s="11"/>
      <c r="C4" s="6"/>
      <c r="D4" s="6"/>
      <c r="E4" s="6"/>
      <c r="F4" s="6"/>
      <c r="G4" s="6"/>
      <c r="H4" s="23"/>
      <c r="I4" s="23"/>
      <c r="J4" s="23"/>
      <c r="K4" s="25" t="s">
        <v>14</v>
      </c>
      <c r="L4" s="22"/>
      <c r="M4" s="22"/>
      <c r="N4" s="21"/>
      <c r="O4" s="21"/>
      <c r="P4" s="21"/>
    </row>
    <row r="5" spans="1:16" ht="12.75">
      <c r="A5" s="6" t="s">
        <v>2</v>
      </c>
      <c r="B5" s="11"/>
      <c r="C5" s="6"/>
      <c r="D5" s="6"/>
      <c r="E5" s="6"/>
      <c r="F5" s="6"/>
      <c r="G5" s="6"/>
      <c r="H5" s="21"/>
      <c r="I5" s="26"/>
      <c r="J5" s="26"/>
      <c r="K5" s="21"/>
      <c r="L5" s="21"/>
      <c r="M5" s="22"/>
      <c r="N5" s="21"/>
      <c r="O5" s="21"/>
      <c r="P5" s="21"/>
    </row>
    <row r="6" spans="1:16" ht="12.75">
      <c r="A6" s="110" t="s">
        <v>308</v>
      </c>
      <c r="B6" s="11"/>
      <c r="C6" s="6"/>
      <c r="D6" s="6"/>
      <c r="E6" s="6"/>
      <c r="F6" s="6"/>
      <c r="G6" s="6"/>
      <c r="H6" s="21" t="s">
        <v>16</v>
      </c>
      <c r="I6" s="21"/>
      <c r="J6" s="21"/>
      <c r="K6" s="47">
        <f>IF(C15=0,B15*12+O6,C15*12+O6)</f>
        <v>22052.84</v>
      </c>
      <c r="L6" s="21"/>
      <c r="M6" s="22"/>
      <c r="N6" s="21"/>
      <c r="O6" s="199">
        <f>B17*12</f>
        <v>144.96</v>
      </c>
      <c r="P6" s="21" t="s">
        <v>261</v>
      </c>
    </row>
    <row r="7" spans="1:16" ht="12.75">
      <c r="A7" s="6" t="s">
        <v>1</v>
      </c>
      <c r="B7" s="11"/>
      <c r="C7" s="6"/>
      <c r="D7" s="6"/>
      <c r="E7" s="6"/>
      <c r="F7" s="6"/>
      <c r="G7" s="6"/>
      <c r="H7" s="21" t="s">
        <v>250</v>
      </c>
      <c r="I7" s="21"/>
      <c r="J7" s="21"/>
      <c r="K7" s="47">
        <f>B16*12</f>
        <v>0</v>
      </c>
      <c r="L7" s="21"/>
      <c r="M7" s="22"/>
      <c r="N7" s="21"/>
      <c r="O7" s="21"/>
      <c r="P7" s="21"/>
    </row>
    <row r="8" spans="1:16" ht="12.75">
      <c r="A8" s="110" t="s">
        <v>153</v>
      </c>
      <c r="B8" s="11"/>
      <c r="C8" s="6"/>
      <c r="D8" s="6"/>
      <c r="E8" s="6"/>
      <c r="F8" s="6"/>
      <c r="G8" s="6"/>
      <c r="H8" s="21" t="str">
        <f>IF(I56=11,H71,H70)</f>
        <v>Indenntà integrativa speciale annua</v>
      </c>
      <c r="I8" s="21"/>
      <c r="J8" s="21"/>
      <c r="K8" s="47">
        <f>IF(I56=11,K63,IF(C11&gt;2002,N61*12,N61*12*0.6))</f>
        <v>6384.12</v>
      </c>
      <c r="L8" s="21"/>
      <c r="M8" s="22"/>
      <c r="N8" s="21"/>
      <c r="O8" s="21"/>
      <c r="P8" s="21"/>
    </row>
    <row r="9" spans="1:16" ht="14.25" customHeight="1">
      <c r="A9" s="187" t="s">
        <v>215</v>
      </c>
      <c r="B9" s="11"/>
      <c r="C9" s="6"/>
      <c r="D9" s="6"/>
      <c r="E9" s="6"/>
      <c r="F9" s="6"/>
      <c r="G9" s="6"/>
      <c r="H9" s="21" t="s">
        <v>143</v>
      </c>
      <c r="I9" s="21"/>
      <c r="J9" s="21"/>
      <c r="K9" s="47">
        <f>B22</f>
        <v>0</v>
      </c>
      <c r="L9" s="21"/>
      <c r="M9" s="22"/>
      <c r="N9" s="25" t="s">
        <v>199</v>
      </c>
      <c r="O9" s="21"/>
      <c r="P9" s="21"/>
    </row>
    <row r="10" spans="1:16" ht="14.25" customHeight="1">
      <c r="A10" s="6" t="s">
        <v>0</v>
      </c>
      <c r="B10" s="11"/>
      <c r="C10" s="6"/>
      <c r="D10" s="6"/>
      <c r="E10" s="6"/>
      <c r="F10" s="6" t="s">
        <v>0</v>
      </c>
      <c r="G10" s="6"/>
      <c r="H10" s="21" t="s">
        <v>19</v>
      </c>
      <c r="I10" s="21"/>
      <c r="J10" s="21"/>
      <c r="K10" s="47">
        <f>(SUM(K6:K9))/12</f>
        <v>2369.7466666666664</v>
      </c>
      <c r="L10" s="21"/>
      <c r="M10" s="22"/>
      <c r="N10" s="21"/>
      <c r="O10" s="21"/>
      <c r="P10" s="21"/>
    </row>
    <row r="11" spans="1:16" ht="12.75">
      <c r="A11" s="151" t="s">
        <v>326</v>
      </c>
      <c r="B11" s="148">
        <v>42614</v>
      </c>
      <c r="C11" s="103">
        <f>YEAR(B11)</f>
        <v>2016</v>
      </c>
      <c r="D11" s="6"/>
      <c r="E11" s="6"/>
      <c r="F11" s="6"/>
      <c r="G11" s="6"/>
      <c r="H11" s="29" t="s">
        <v>20</v>
      </c>
      <c r="I11" s="21"/>
      <c r="J11" s="21"/>
      <c r="K11" s="48">
        <f>IF(N11=0,SUM(K6:K10),N11)</f>
        <v>30806.706666666665</v>
      </c>
      <c r="L11" s="21"/>
      <c r="M11" s="29" t="s">
        <v>199</v>
      </c>
      <c r="N11" s="175">
        <v>0</v>
      </c>
      <c r="O11" s="21"/>
      <c r="P11" s="21"/>
    </row>
    <row r="12" spans="1:16" ht="12.75">
      <c r="A12" s="6"/>
      <c r="B12" s="11"/>
      <c r="C12" s="11"/>
      <c r="D12" s="6"/>
      <c r="E12" s="6"/>
      <c r="F12" s="6"/>
      <c r="G12" s="6"/>
      <c r="H12" s="29" t="s">
        <v>21</v>
      </c>
      <c r="I12" s="21"/>
      <c r="J12" s="29">
        <f>IF(E25*30+F25&gt;180,D25+1,D25)</f>
        <v>43</v>
      </c>
      <c r="K12" s="47"/>
      <c r="L12" s="21"/>
      <c r="M12" s="22"/>
      <c r="N12" s="21"/>
      <c r="O12" s="21"/>
      <c r="P12" s="21"/>
    </row>
    <row r="13" spans="1:16" ht="12.75">
      <c r="A13" s="151" t="s">
        <v>206</v>
      </c>
      <c r="B13" s="149">
        <v>35</v>
      </c>
      <c r="C13" s="146"/>
      <c r="D13" s="6"/>
      <c r="E13" s="6"/>
      <c r="F13" s="6"/>
      <c r="G13" s="6"/>
      <c r="H13" s="21" t="s">
        <v>191</v>
      </c>
      <c r="I13" s="21"/>
      <c r="J13" s="21">
        <f>O51</f>
        <v>39</v>
      </c>
      <c r="K13" s="47"/>
      <c r="L13" s="21"/>
      <c r="M13" s="22"/>
      <c r="N13" s="21"/>
      <c r="O13" s="21"/>
      <c r="P13" s="21"/>
    </row>
    <row r="14" spans="1:16" ht="12.75">
      <c r="A14" s="6"/>
      <c r="B14" s="11" t="s">
        <v>14</v>
      </c>
      <c r="C14" s="11"/>
      <c r="D14" s="6"/>
      <c r="E14" s="6"/>
      <c r="F14" s="6"/>
      <c r="G14" s="6"/>
      <c r="H14" s="21" t="s">
        <v>158</v>
      </c>
      <c r="I14" s="21"/>
      <c r="J14" s="21"/>
      <c r="K14" s="47">
        <f>K11*0.8/12</f>
        <v>2053.7804444444446</v>
      </c>
      <c r="L14" s="21"/>
      <c r="M14" s="22"/>
      <c r="N14" s="21"/>
      <c r="O14" s="21"/>
      <c r="P14" s="21"/>
    </row>
    <row r="15" spans="1:16" ht="12.75">
      <c r="A15" s="151" t="s">
        <v>205</v>
      </c>
      <c r="B15" s="150">
        <f>Stipendi!D2</f>
        <v>1825.6566666666668</v>
      </c>
      <c r="C15" s="176">
        <v>0</v>
      </c>
      <c r="D15" s="157" t="s">
        <v>216</v>
      </c>
      <c r="E15" s="158"/>
      <c r="F15" s="159"/>
      <c r="G15" s="6"/>
      <c r="H15" s="22" t="s">
        <v>121</v>
      </c>
      <c r="I15" s="21"/>
      <c r="J15" s="21"/>
      <c r="K15" s="47">
        <f>B21</f>
        <v>0</v>
      </c>
      <c r="L15" s="21"/>
      <c r="M15" s="22"/>
      <c r="N15" s="21"/>
      <c r="O15" s="21"/>
      <c r="P15" s="21"/>
    </row>
    <row r="16" spans="1:16" ht="12.75">
      <c r="A16" s="151" t="s">
        <v>251</v>
      </c>
      <c r="B16" s="175">
        <v>0</v>
      </c>
      <c r="C16" s="11"/>
      <c r="D16" s="160" t="s">
        <v>217</v>
      </c>
      <c r="E16" s="161"/>
      <c r="F16" s="162"/>
      <c r="G16" s="6"/>
      <c r="H16" s="21" t="s">
        <v>142</v>
      </c>
      <c r="I16" s="21"/>
      <c r="J16" s="21"/>
      <c r="K16" s="47">
        <f>K14*J13</f>
        <v>80097.43733333334</v>
      </c>
      <c r="L16" s="21"/>
      <c r="M16" s="22"/>
      <c r="N16" s="21"/>
      <c r="O16" s="21"/>
      <c r="P16" s="21"/>
    </row>
    <row r="17" spans="1:16" ht="12.75">
      <c r="A17" s="151" t="s">
        <v>260</v>
      </c>
      <c r="B17" s="150">
        <f>Stipendi!M146</f>
        <v>12.08</v>
      </c>
      <c r="C17" s="11"/>
      <c r="D17" s="160" t="s">
        <v>218</v>
      </c>
      <c r="E17" s="161"/>
      <c r="F17" s="162"/>
      <c r="G17" s="6"/>
      <c r="H17" s="29" t="s">
        <v>120</v>
      </c>
      <c r="I17" s="21"/>
      <c r="J17" s="21"/>
      <c r="K17" s="48">
        <f>K14*J12+K15</f>
        <v>88312.55911111111</v>
      </c>
      <c r="L17" s="21"/>
      <c r="M17" s="22"/>
      <c r="N17" s="21"/>
      <c r="O17" s="21"/>
      <c r="P17" s="21"/>
    </row>
    <row r="18" spans="1:16" ht="12.75">
      <c r="A18" s="151" t="s">
        <v>10</v>
      </c>
      <c r="B18" s="150">
        <f>J56</f>
        <v>532.01</v>
      </c>
      <c r="C18" s="176">
        <v>0</v>
      </c>
      <c r="D18" s="163"/>
      <c r="E18" s="164"/>
      <c r="F18" s="165"/>
      <c r="G18" s="6"/>
      <c r="H18" s="21" t="s">
        <v>0</v>
      </c>
      <c r="I18" s="21"/>
      <c r="J18" s="21"/>
      <c r="K18" s="48"/>
      <c r="L18" s="21"/>
      <c r="M18" s="22"/>
      <c r="N18" s="21"/>
      <c r="O18" s="21"/>
      <c r="P18" s="21"/>
    </row>
    <row r="19" spans="1:16" ht="12.75">
      <c r="A19" s="6"/>
      <c r="B19" s="11"/>
      <c r="C19" s="11"/>
      <c r="D19" s="6"/>
      <c r="E19" s="6"/>
      <c r="F19" s="6"/>
      <c r="G19" s="6"/>
      <c r="H19" s="21" t="s">
        <v>22</v>
      </c>
      <c r="I19" s="21"/>
      <c r="J19" s="21"/>
      <c r="K19" s="51">
        <f>K16*0.2604</f>
        <v>20857.3726816</v>
      </c>
      <c r="L19" s="28"/>
      <c r="M19" s="22"/>
      <c r="N19" s="21"/>
      <c r="O19" s="21"/>
      <c r="P19" s="21"/>
    </row>
    <row r="20" spans="1:16" ht="12.75">
      <c r="A20" s="151" t="s">
        <v>108</v>
      </c>
      <c r="B20" s="156">
        <v>0</v>
      </c>
      <c r="C20" s="11"/>
      <c r="D20" s="6"/>
      <c r="E20" s="6"/>
      <c r="F20" s="6"/>
      <c r="G20" s="6"/>
      <c r="H20" s="21" t="s">
        <v>23</v>
      </c>
      <c r="I20" s="21"/>
      <c r="J20" s="21"/>
      <c r="K20" s="47">
        <f>(K70*D25+K71*E25)-K71*(D27*12+E27)</f>
        <v>13272.765000000001</v>
      </c>
      <c r="L20" s="21"/>
      <c r="M20" s="22"/>
      <c r="N20" s="21"/>
      <c r="O20" s="21"/>
      <c r="P20" s="21"/>
    </row>
    <row r="21" spans="1:16" ht="12.75">
      <c r="A21" s="151" t="s">
        <v>124</v>
      </c>
      <c r="B21" s="156">
        <v>0</v>
      </c>
      <c r="C21" s="6"/>
      <c r="D21" s="6"/>
      <c r="E21" s="6"/>
      <c r="F21" s="6"/>
      <c r="G21" s="6"/>
      <c r="H21" s="29" t="s">
        <v>24</v>
      </c>
      <c r="I21" s="29"/>
      <c r="J21" s="29"/>
      <c r="K21" s="48">
        <f>K17-K19-K20</f>
        <v>54182.421429511116</v>
      </c>
      <c r="L21" s="29"/>
      <c r="M21" s="22"/>
      <c r="N21" s="21"/>
      <c r="O21" s="21"/>
      <c r="P21" s="21"/>
    </row>
    <row r="22" spans="1:16" ht="12.75">
      <c r="A22" s="151" t="s">
        <v>197</v>
      </c>
      <c r="B22" s="156">
        <v>0</v>
      </c>
      <c r="C22" s="6"/>
      <c r="D22" s="6"/>
      <c r="E22" s="6"/>
      <c r="F22" s="6"/>
      <c r="G22" s="6"/>
      <c r="H22" s="21" t="s">
        <v>25</v>
      </c>
      <c r="I22" s="21"/>
      <c r="J22" s="21"/>
      <c r="K22" s="47">
        <f>(K17-K19-K15)/N22*12</f>
        <v>18899.421834091372</v>
      </c>
      <c r="L22" s="21"/>
      <c r="M22" s="22"/>
      <c r="N22" s="21">
        <f>ROUND((D25*12+E25)/12,2)</f>
        <v>42.83</v>
      </c>
      <c r="O22" s="21"/>
      <c r="P22" s="21"/>
    </row>
    <row r="23" spans="1:16" ht="12.75">
      <c r="A23" s="151" t="s">
        <v>240</v>
      </c>
      <c r="B23" s="156">
        <v>0</v>
      </c>
      <c r="C23" s="6"/>
      <c r="D23" s="6"/>
      <c r="E23" s="6"/>
      <c r="F23" s="6"/>
      <c r="G23" s="6"/>
      <c r="H23" s="21" t="s">
        <v>26</v>
      </c>
      <c r="I23" s="21"/>
      <c r="J23" s="21"/>
      <c r="K23" s="47">
        <f>IF(C11&gt;2004,N56,IF(C11&gt;2002,N57,N58))</f>
        <v>4346.867021841016</v>
      </c>
      <c r="L23" s="21"/>
      <c r="M23" s="22"/>
      <c r="N23" s="21"/>
      <c r="O23" s="21"/>
      <c r="P23" s="21"/>
    </row>
    <row r="24" spans="1:16" ht="12.75">
      <c r="A24" s="6"/>
      <c r="B24" s="11"/>
      <c r="C24" s="6"/>
      <c r="D24" s="115" t="s">
        <v>4</v>
      </c>
      <c r="E24" s="115" t="s">
        <v>3</v>
      </c>
      <c r="F24" s="115" t="s">
        <v>13</v>
      </c>
      <c r="G24" s="6"/>
      <c r="H24" s="21" t="s">
        <v>27</v>
      </c>
      <c r="I24" s="21"/>
      <c r="J24" s="50">
        <f>ROUND(K23/K22,4)</f>
        <v>0.23</v>
      </c>
      <c r="K24" s="47"/>
      <c r="L24" s="21"/>
      <c r="M24" s="22"/>
      <c r="N24" s="21"/>
      <c r="O24" s="21"/>
      <c r="P24" s="21"/>
    </row>
    <row r="25" spans="1:16" ht="12.75">
      <c r="A25" s="152" t="s">
        <v>119</v>
      </c>
      <c r="B25" s="153"/>
      <c r="C25" s="154"/>
      <c r="D25" s="111">
        <v>42</v>
      </c>
      <c r="E25" s="111">
        <v>10</v>
      </c>
      <c r="F25" s="111">
        <v>26</v>
      </c>
      <c r="G25" s="6"/>
      <c r="H25" s="22" t="s">
        <v>256</v>
      </c>
      <c r="I25" s="21"/>
      <c r="J25" s="195">
        <f>O71</f>
        <v>58.878</v>
      </c>
      <c r="K25" s="21"/>
      <c r="L25" s="21"/>
      <c r="M25" s="22"/>
      <c r="N25" s="21"/>
      <c r="O25" s="21"/>
      <c r="P25" s="21"/>
    </row>
    <row r="26" spans="1:16" ht="12.75">
      <c r="A26" s="152" t="s">
        <v>125</v>
      </c>
      <c r="B26" s="153"/>
      <c r="C26" s="154"/>
      <c r="D26" s="112">
        <v>3</v>
      </c>
      <c r="E26" s="112">
        <v>8</v>
      </c>
      <c r="F26" s="6"/>
      <c r="G26" s="6"/>
      <c r="H26" s="21" t="s">
        <v>304</v>
      </c>
      <c r="I26" s="21"/>
      <c r="J26" s="21"/>
      <c r="K26" s="47">
        <f>K21*J24-O71</f>
        <v>12403.078928787556</v>
      </c>
      <c r="L26" s="21"/>
      <c r="M26" s="22"/>
      <c r="N26" s="21"/>
      <c r="O26" s="21"/>
      <c r="P26" s="21"/>
    </row>
    <row r="27" spans="1:16" ht="12.75">
      <c r="A27" s="155" t="s">
        <v>122</v>
      </c>
      <c r="B27" s="153"/>
      <c r="C27" s="154"/>
      <c r="D27" s="112">
        <v>0</v>
      </c>
      <c r="E27" s="112">
        <v>0</v>
      </c>
      <c r="F27" s="6"/>
      <c r="G27" s="6"/>
      <c r="H27" s="21" t="s">
        <v>123</v>
      </c>
      <c r="I27" s="21"/>
      <c r="J27" s="21"/>
      <c r="K27" s="47">
        <f>B20</f>
        <v>0</v>
      </c>
      <c r="L27" s="21"/>
      <c r="M27" s="22"/>
      <c r="N27" s="21"/>
      <c r="O27" s="21"/>
      <c r="P27" s="21"/>
    </row>
    <row r="28" spans="1:16" ht="12.75">
      <c r="A28" s="6"/>
      <c r="B28" s="11"/>
      <c r="C28" s="6"/>
      <c r="D28" s="6"/>
      <c r="E28" s="6"/>
      <c r="F28" s="6"/>
      <c r="G28" s="6"/>
      <c r="H28" s="21"/>
      <c r="I28" s="21"/>
      <c r="J28" s="21"/>
      <c r="K28" s="47"/>
      <c r="L28" s="21"/>
      <c r="M28" s="22"/>
      <c r="N28" s="21"/>
      <c r="O28" s="21"/>
      <c r="P28" s="21"/>
    </row>
    <row r="29" spans="1:16" ht="12.75">
      <c r="A29" s="6"/>
      <c r="B29" s="11"/>
      <c r="C29" s="6"/>
      <c r="D29" s="6"/>
      <c r="E29" s="6"/>
      <c r="F29" s="6"/>
      <c r="G29" s="6"/>
      <c r="H29" s="28" t="s">
        <v>5</v>
      </c>
      <c r="I29" s="28"/>
      <c r="J29" s="28"/>
      <c r="K29" s="49">
        <f>K17-K26-K27</f>
        <v>75909.48018232356</v>
      </c>
      <c r="L29" s="21"/>
      <c r="M29" s="22"/>
      <c r="N29" s="21"/>
      <c r="O29" s="21"/>
      <c r="P29" s="21"/>
    </row>
    <row r="30" spans="1:16" ht="12.75">
      <c r="A30" s="44" t="s">
        <v>213</v>
      </c>
      <c r="B30" s="147"/>
      <c r="C30" s="6"/>
      <c r="D30" s="6"/>
      <c r="E30" s="6"/>
      <c r="F30" s="6"/>
      <c r="G30" s="6"/>
      <c r="H30" s="21"/>
      <c r="I30" s="21"/>
      <c r="J30" s="21"/>
      <c r="K30" s="21"/>
      <c r="L30" s="21"/>
      <c r="M30" s="22"/>
      <c r="N30" s="21"/>
      <c r="O30" s="21"/>
      <c r="P30" s="21"/>
    </row>
    <row r="31" spans="1:16" ht="12.75">
      <c r="A31" s="44" t="s">
        <v>214</v>
      </c>
      <c r="B31" s="147"/>
      <c r="C31" s="6"/>
      <c r="D31" s="6"/>
      <c r="E31" s="6"/>
      <c r="F31" s="6"/>
      <c r="G31" s="6"/>
      <c r="H31" s="21"/>
      <c r="I31" s="21"/>
      <c r="J31" s="21"/>
      <c r="K31" s="21"/>
      <c r="L31" s="21"/>
      <c r="M31" s="22"/>
      <c r="N31" s="21"/>
      <c r="O31" s="21"/>
      <c r="P31" s="21"/>
    </row>
    <row r="32" spans="1:16" ht="12.75">
      <c r="A32" s="44" t="s">
        <v>220</v>
      </c>
      <c r="B32" s="11"/>
      <c r="C32" s="6"/>
      <c r="D32" s="6"/>
      <c r="E32" s="6"/>
      <c r="F32" s="6"/>
      <c r="G32" s="6"/>
      <c r="H32" s="29"/>
      <c r="I32" s="21"/>
      <c r="J32" s="21"/>
      <c r="K32" s="21"/>
      <c r="L32" s="21"/>
      <c r="M32" s="21"/>
      <c r="N32" s="21"/>
      <c r="O32" s="21"/>
      <c r="P32" s="21"/>
    </row>
    <row r="33" spans="1:16" ht="12.75">
      <c r="A33" s="44"/>
      <c r="B33" s="11"/>
      <c r="C33" s="6"/>
      <c r="D33" s="6"/>
      <c r="E33" s="6"/>
      <c r="F33" s="6"/>
      <c r="G33" s="6"/>
      <c r="H33" s="21"/>
      <c r="I33" s="21"/>
      <c r="J33" s="21"/>
      <c r="K33" s="21"/>
      <c r="L33" s="21"/>
      <c r="M33" s="21"/>
      <c r="N33" s="21"/>
      <c r="O33" s="21"/>
      <c r="P33" s="21"/>
    </row>
    <row r="34" spans="1:16" ht="12.75">
      <c r="A34" s="45" t="s">
        <v>315</v>
      </c>
      <c r="B34" s="217">
        <f>K11</f>
        <v>30806.706666666665</v>
      </c>
      <c r="C34" s="147" t="s">
        <v>286</v>
      </c>
      <c r="D34" s="6"/>
      <c r="E34" s="6"/>
      <c r="F34" s="6"/>
      <c r="G34" s="6"/>
      <c r="H34" s="21"/>
      <c r="I34" s="21"/>
      <c r="J34" s="21"/>
      <c r="K34" s="21"/>
      <c r="L34" s="21"/>
      <c r="M34" s="21"/>
      <c r="N34" s="21"/>
      <c r="O34" s="21"/>
      <c r="P34" s="21"/>
    </row>
    <row r="35" spans="1:16" ht="12.75">
      <c r="A35" s="45" t="s">
        <v>316</v>
      </c>
      <c r="B35" s="217">
        <f>K17</f>
        <v>88312.55911111111</v>
      </c>
      <c r="C35" s="141">
        <f>K29</f>
        <v>75909.48018232356</v>
      </c>
      <c r="D35" s="6"/>
      <c r="E35" s="6"/>
      <c r="F35" s="6"/>
      <c r="G35" s="6"/>
      <c r="H35" s="21"/>
      <c r="I35" s="21"/>
      <c r="J35" s="21"/>
      <c r="K35" s="21"/>
      <c r="L35" s="21"/>
      <c r="M35" s="21"/>
      <c r="N35" s="21"/>
      <c r="O35" s="21"/>
      <c r="P35" s="21"/>
    </row>
    <row r="36" spans="1:16" ht="12.75">
      <c r="A36" s="45" t="s">
        <v>317</v>
      </c>
      <c r="B36" s="217">
        <f>C35/J12</f>
        <v>1765.3367484261294</v>
      </c>
      <c r="C36" s="6"/>
      <c r="D36" s="6"/>
      <c r="E36" s="6"/>
      <c r="F36" s="6"/>
      <c r="G36" s="6"/>
      <c r="H36" s="21"/>
      <c r="I36" s="21"/>
      <c r="J36" s="21"/>
      <c r="K36" s="21"/>
      <c r="L36" s="21"/>
      <c r="M36" s="21"/>
      <c r="N36" s="21"/>
      <c r="O36" s="21"/>
      <c r="P36" s="21"/>
    </row>
    <row r="37" spans="1:16" ht="12.75">
      <c r="A37" s="45"/>
      <c r="B37" s="11"/>
      <c r="C37" s="6"/>
      <c r="D37" s="6"/>
      <c r="E37" s="6"/>
      <c r="F37" s="6"/>
      <c r="G37" s="6"/>
      <c r="H37" s="21"/>
      <c r="I37" s="21"/>
      <c r="J37" s="21"/>
      <c r="K37" s="21"/>
      <c r="L37" s="21"/>
      <c r="M37" s="21"/>
      <c r="N37" s="21"/>
      <c r="O37" s="21"/>
      <c r="P37" s="21"/>
    </row>
    <row r="38" spans="1:16" ht="12.75">
      <c r="A38" s="45"/>
      <c r="B38" s="11"/>
      <c r="C38" s="6"/>
      <c r="D38" s="6"/>
      <c r="E38" s="6"/>
      <c r="F38" s="6"/>
      <c r="G38" s="6"/>
      <c r="H38" s="21"/>
      <c r="I38" s="21"/>
      <c r="J38" s="21"/>
      <c r="K38" s="21"/>
      <c r="L38" s="21"/>
      <c r="M38" s="21"/>
      <c r="N38" s="21"/>
      <c r="O38" s="21"/>
      <c r="P38" s="21"/>
    </row>
    <row r="39" spans="1:16" ht="12.75">
      <c r="A39" s="45"/>
      <c r="B39" s="11"/>
      <c r="C39" s="6"/>
      <c r="D39" s="6"/>
      <c r="E39" s="6"/>
      <c r="F39" s="6"/>
      <c r="G39" s="6"/>
      <c r="H39" s="21"/>
      <c r="I39" s="21"/>
      <c r="J39" s="21"/>
      <c r="K39" s="21"/>
      <c r="L39" s="21"/>
      <c r="M39" s="21"/>
      <c r="N39" s="21"/>
      <c r="O39" s="21"/>
      <c r="P39" s="21"/>
    </row>
    <row r="40" spans="1:16" ht="15">
      <c r="A40" s="244" t="s">
        <v>330</v>
      </c>
      <c r="B40" s="11"/>
      <c r="C40" s="6"/>
      <c r="D40" s="6"/>
      <c r="E40" s="6"/>
      <c r="F40" s="6"/>
      <c r="G40" s="6"/>
      <c r="H40" s="21"/>
      <c r="I40" s="21"/>
      <c r="J40" s="21"/>
      <c r="K40" s="21"/>
      <c r="L40" s="21"/>
      <c r="M40" s="21"/>
      <c r="N40" s="21"/>
      <c r="O40" s="21"/>
      <c r="P40" s="21"/>
    </row>
    <row r="41" spans="1:16" ht="12.75">
      <c r="A41" s="45"/>
      <c r="B41" s="11"/>
      <c r="C41" s="6"/>
      <c r="D41" s="6"/>
      <c r="E41" s="6"/>
      <c r="F41" s="6"/>
      <c r="G41" s="6"/>
      <c r="H41" s="21"/>
      <c r="I41" s="21"/>
      <c r="J41" s="21"/>
      <c r="K41" s="21"/>
      <c r="L41" s="21"/>
      <c r="M41" s="21"/>
      <c r="N41" s="21"/>
      <c r="O41" s="21"/>
      <c r="P41" s="21"/>
    </row>
    <row r="42" spans="1:16" ht="12.75">
      <c r="A42" s="6"/>
      <c r="B42" s="11"/>
      <c r="C42" s="6"/>
      <c r="D42" s="6"/>
      <c r="E42" s="6"/>
      <c r="F42" s="6"/>
      <c r="G42" s="6"/>
      <c r="H42" s="21"/>
      <c r="I42" s="21"/>
      <c r="J42" s="21"/>
      <c r="K42" s="21"/>
      <c r="L42" s="21"/>
      <c r="M42" s="21"/>
      <c r="N42" s="31" t="s">
        <v>192</v>
      </c>
      <c r="O42" s="31"/>
      <c r="P42" s="31"/>
    </row>
    <row r="43" spans="1:16" ht="12.75">
      <c r="A43" s="6"/>
      <c r="B43" s="11"/>
      <c r="C43" s="6"/>
      <c r="D43" s="6"/>
      <c r="E43" s="6"/>
      <c r="F43" s="6"/>
      <c r="G43" s="6"/>
      <c r="H43" s="139" t="s">
        <v>148</v>
      </c>
      <c r="I43" s="21"/>
      <c r="J43" s="188">
        <v>0</v>
      </c>
      <c r="K43" s="189">
        <v>38231</v>
      </c>
      <c r="L43" s="31"/>
      <c r="M43" s="31"/>
      <c r="N43" s="31" t="s">
        <v>193</v>
      </c>
      <c r="O43" s="31"/>
      <c r="P43" s="31"/>
    </row>
    <row r="44" spans="1:16" ht="12.75">
      <c r="A44" s="6"/>
      <c r="B44" s="11"/>
      <c r="C44" s="6"/>
      <c r="D44" s="6"/>
      <c r="E44" s="6"/>
      <c r="F44" s="6"/>
      <c r="G44" s="6"/>
      <c r="H44" s="139" t="s">
        <v>204</v>
      </c>
      <c r="I44" s="21"/>
      <c r="J44" s="188">
        <v>3</v>
      </c>
      <c r="K44" s="189">
        <v>38596</v>
      </c>
      <c r="L44" s="31"/>
      <c r="M44" s="31"/>
      <c r="N44" s="116">
        <f>(K6+K7+K8)/12</f>
        <v>2369.7466666666664</v>
      </c>
      <c r="O44" s="31"/>
      <c r="P44" s="31"/>
    </row>
    <row r="45" spans="1:16" ht="12.75">
      <c r="A45" s="6"/>
      <c r="B45" s="11"/>
      <c r="C45" s="6"/>
      <c r="D45" s="6"/>
      <c r="E45" s="6"/>
      <c r="F45" s="6"/>
      <c r="G45" s="6"/>
      <c r="H45" s="139" t="s">
        <v>149</v>
      </c>
      <c r="I45" s="21"/>
      <c r="J45" s="188">
        <v>9</v>
      </c>
      <c r="K45" s="189">
        <v>38961</v>
      </c>
      <c r="L45" s="31"/>
      <c r="M45" s="31"/>
      <c r="N45" s="117">
        <f>(K6+K7+K8+N44)*0.8/12</f>
        <v>2053.7804444444446</v>
      </c>
      <c r="O45" s="31"/>
      <c r="P45" s="31"/>
    </row>
    <row r="46" spans="1:16" ht="12.75">
      <c r="A46" s="6"/>
      <c r="B46" s="11"/>
      <c r="C46" s="6"/>
      <c r="D46" s="6"/>
      <c r="E46" s="6"/>
      <c r="F46" s="6"/>
      <c r="G46" s="6"/>
      <c r="H46" s="139" t="s">
        <v>150</v>
      </c>
      <c r="I46" s="21"/>
      <c r="J46" s="188">
        <v>15</v>
      </c>
      <c r="K46" s="189">
        <v>39326</v>
      </c>
      <c r="L46" s="31"/>
      <c r="M46" s="31"/>
      <c r="N46" s="33"/>
      <c r="O46" s="31"/>
      <c r="P46" s="31"/>
    </row>
    <row r="47" spans="1:16" ht="12.75">
      <c r="A47" s="6"/>
      <c r="B47" s="11"/>
      <c r="C47" s="6"/>
      <c r="D47" s="6"/>
      <c r="E47" s="6"/>
      <c r="F47" s="6"/>
      <c r="G47" s="6"/>
      <c r="H47" s="139" t="s">
        <v>202</v>
      </c>
      <c r="I47" s="21"/>
      <c r="J47" s="188">
        <v>21</v>
      </c>
      <c r="K47" s="189">
        <v>39692</v>
      </c>
      <c r="L47" s="31"/>
      <c r="M47" s="31"/>
      <c r="N47" s="33" t="s">
        <v>194</v>
      </c>
      <c r="O47" s="31"/>
      <c r="P47" s="31"/>
    </row>
    <row r="48" spans="1:16" ht="12.75">
      <c r="A48" s="6"/>
      <c r="B48" s="11"/>
      <c r="C48" s="6"/>
      <c r="D48" s="6"/>
      <c r="E48" s="6"/>
      <c r="F48" s="6"/>
      <c r="G48" s="6"/>
      <c r="H48" s="139" t="s">
        <v>151</v>
      </c>
      <c r="I48" s="21"/>
      <c r="J48" s="188">
        <v>28</v>
      </c>
      <c r="K48" s="189">
        <v>40057</v>
      </c>
      <c r="L48" s="31"/>
      <c r="M48" s="31"/>
      <c r="N48" s="33" t="s">
        <v>195</v>
      </c>
      <c r="O48" s="31"/>
      <c r="P48" s="31"/>
    </row>
    <row r="49" spans="1:16" ht="12.75">
      <c r="A49" s="6"/>
      <c r="B49" s="11"/>
      <c r="C49" s="6"/>
      <c r="D49" s="6"/>
      <c r="E49" s="6"/>
      <c r="F49" s="6"/>
      <c r="G49" s="6"/>
      <c r="H49" s="139" t="s">
        <v>152</v>
      </c>
      <c r="I49" s="21"/>
      <c r="J49" s="188">
        <v>35</v>
      </c>
      <c r="K49" s="189">
        <v>40422</v>
      </c>
      <c r="L49" s="31"/>
      <c r="M49" s="31"/>
      <c r="N49" s="130">
        <f>IF(F25&gt;0,1,0)</f>
        <v>1</v>
      </c>
      <c r="O49" s="131">
        <f>INT(N50/12)</f>
        <v>39</v>
      </c>
      <c r="P49" s="31"/>
    </row>
    <row r="50" spans="1:16" ht="12.75">
      <c r="A50" s="6"/>
      <c r="B50" s="11"/>
      <c r="C50" s="6"/>
      <c r="D50" s="6"/>
      <c r="E50" s="6"/>
      <c r="F50" s="6"/>
      <c r="G50" s="6"/>
      <c r="H50" s="139" t="s">
        <v>153</v>
      </c>
      <c r="I50" s="21"/>
      <c r="J50" s="21"/>
      <c r="K50" s="189">
        <v>40787</v>
      </c>
      <c r="L50" s="31"/>
      <c r="M50" s="31"/>
      <c r="N50" s="132">
        <f>(D25*12+E25)-(D26*12+E26)+N49</f>
        <v>471</v>
      </c>
      <c r="O50" s="133"/>
      <c r="P50" s="31"/>
    </row>
    <row r="51" spans="1:16" ht="12.75">
      <c r="A51" s="6"/>
      <c r="B51" s="11"/>
      <c r="C51" s="6"/>
      <c r="D51" s="6"/>
      <c r="E51" s="6"/>
      <c r="F51" s="6"/>
      <c r="G51" s="6"/>
      <c r="H51" s="139" t="s">
        <v>154</v>
      </c>
      <c r="I51" s="21"/>
      <c r="J51" s="21"/>
      <c r="K51" s="189">
        <v>41153</v>
      </c>
      <c r="L51" s="31"/>
      <c r="M51" s="31"/>
      <c r="N51" s="134">
        <f>N50-O49*12</f>
        <v>3</v>
      </c>
      <c r="O51" s="135">
        <f>IF(N51&gt;6,O49+1,O49)</f>
        <v>39</v>
      </c>
      <c r="P51" s="31"/>
    </row>
    <row r="52" spans="1:16" ht="12.75">
      <c r="A52" s="6"/>
      <c r="B52" s="11"/>
      <c r="C52" s="6"/>
      <c r="D52" s="6"/>
      <c r="E52" s="6"/>
      <c r="F52" s="6"/>
      <c r="G52" s="6"/>
      <c r="H52" s="139" t="s">
        <v>155</v>
      </c>
      <c r="I52" s="21"/>
      <c r="J52" s="21"/>
      <c r="K52" s="189">
        <v>41518</v>
      </c>
      <c r="L52" s="31"/>
      <c r="M52" s="31"/>
      <c r="N52" s="33"/>
      <c r="O52" s="31"/>
      <c r="P52" s="31"/>
    </row>
    <row r="53" spans="1:16" ht="12.75">
      <c r="A53" s="6"/>
      <c r="B53" s="11"/>
      <c r="C53" s="6"/>
      <c r="D53" s="6"/>
      <c r="E53" s="6"/>
      <c r="F53" s="6"/>
      <c r="G53" s="6"/>
      <c r="H53" s="139" t="s">
        <v>156</v>
      </c>
      <c r="I53" s="21"/>
      <c r="J53" s="21"/>
      <c r="K53" s="189">
        <v>41883</v>
      </c>
      <c r="L53" s="31"/>
      <c r="M53" s="31"/>
      <c r="N53" s="33"/>
      <c r="O53" s="31"/>
      <c r="P53" s="31"/>
    </row>
    <row r="54" spans="1:16" ht="12.75">
      <c r="A54" s="6"/>
      <c r="B54" s="11"/>
      <c r="C54" s="6"/>
      <c r="D54" s="6"/>
      <c r="E54" s="6"/>
      <c r="F54" s="6"/>
      <c r="G54" s="6"/>
      <c r="H54" s="139" t="s">
        <v>157</v>
      </c>
      <c r="I54" s="21"/>
      <c r="J54" s="21"/>
      <c r="K54" s="189">
        <v>42248</v>
      </c>
      <c r="L54" s="31"/>
      <c r="M54" s="31"/>
      <c r="N54" s="33"/>
      <c r="O54" s="31"/>
      <c r="P54" s="31"/>
    </row>
    <row r="55" spans="1:16" ht="12.75">
      <c r="A55" s="6"/>
      <c r="B55" s="11"/>
      <c r="C55" s="6"/>
      <c r="D55" s="6"/>
      <c r="E55" s="6"/>
      <c r="F55" s="6"/>
      <c r="G55" s="6"/>
      <c r="H55" s="21"/>
      <c r="I55" s="21"/>
      <c r="J55" s="21"/>
      <c r="K55" s="189">
        <v>42614</v>
      </c>
      <c r="L55" s="31"/>
      <c r="M55" s="31"/>
      <c r="N55" s="33" t="s">
        <v>196</v>
      </c>
      <c r="O55" s="31"/>
      <c r="P55" s="31"/>
    </row>
    <row r="56" spans="1:16" ht="12.75">
      <c r="A56" s="6"/>
      <c r="B56" s="11"/>
      <c r="C56" s="6"/>
      <c r="D56" s="6"/>
      <c r="E56" s="6"/>
      <c r="F56" s="6"/>
      <c r="G56" s="6"/>
      <c r="H56" s="143" t="s">
        <v>203</v>
      </c>
      <c r="I56" s="143">
        <f>VLOOKUP(A8,H57:J68,2)</f>
        <v>7</v>
      </c>
      <c r="J56" s="143">
        <f>VLOOKUP(A8,H57:J68,3)</f>
        <v>532.01</v>
      </c>
      <c r="K56" s="189">
        <v>42979</v>
      </c>
      <c r="L56" s="31"/>
      <c r="M56" s="31"/>
      <c r="N56" s="136">
        <f>IF(K22&gt;100000,K22*0.43-8610,IF(K22&gt;33500,K22*0.39-4610,IF(K22&gt;26000,K22*0.33-2600,K22*0.23)))</f>
        <v>4346.867021841016</v>
      </c>
      <c r="O56" s="138">
        <v>2005</v>
      </c>
      <c r="P56" s="31"/>
    </row>
    <row r="57" spans="1:16" ht="12.75">
      <c r="A57" s="6"/>
      <c r="B57" s="11"/>
      <c r="C57" s="6"/>
      <c r="D57" s="6"/>
      <c r="E57" s="6"/>
      <c r="F57" s="6"/>
      <c r="G57" s="6"/>
      <c r="H57" s="139" t="s">
        <v>149</v>
      </c>
      <c r="I57" s="139">
        <v>4</v>
      </c>
      <c r="J57" s="139">
        <v>523.34</v>
      </c>
      <c r="K57" s="189">
        <v>43344</v>
      </c>
      <c r="L57" s="31"/>
      <c r="M57" s="31"/>
      <c r="N57" s="137">
        <f>IF(K22&gt;32600,K22*0.39-4088,IF(K22&gt;29000,K22*0.31-1480,IF(K22&gt;15000,K22*0.29-900,K22*0.23)))</f>
        <v>4580.832331886498</v>
      </c>
      <c r="O57" s="138">
        <v>2003</v>
      </c>
      <c r="P57" s="31"/>
    </row>
    <row r="58" spans="1:16" ht="12.75">
      <c r="A58" s="6"/>
      <c r="B58" s="11"/>
      <c r="C58" s="6"/>
      <c r="D58" s="6"/>
      <c r="E58" s="6"/>
      <c r="F58" s="6"/>
      <c r="G58" s="6"/>
      <c r="H58" s="139" t="s">
        <v>150</v>
      </c>
      <c r="I58" s="139">
        <v>4</v>
      </c>
      <c r="J58" s="139">
        <v>523.34</v>
      </c>
      <c r="K58" s="21"/>
      <c r="L58" s="31"/>
      <c r="M58" s="31"/>
      <c r="N58" s="137">
        <f>IF(K22&gt;30987.41,K22*0.39-4028.36,IF(K22&gt;15493.72,K22*0.32-1859.24,IF(K22&gt;10329.15,K22*0.24-619.75,K22*0.18)))</f>
        <v>4188.57498690924</v>
      </c>
      <c r="O58" s="138">
        <v>2002</v>
      </c>
      <c r="P58" s="31"/>
    </row>
    <row r="59" spans="1:16" ht="12.75">
      <c r="A59" s="6"/>
      <c r="B59" s="11"/>
      <c r="C59" s="6"/>
      <c r="D59" s="6"/>
      <c r="E59" s="6"/>
      <c r="F59" s="6"/>
      <c r="G59" s="6"/>
      <c r="H59" s="139" t="s">
        <v>148</v>
      </c>
      <c r="I59" s="139">
        <v>2</v>
      </c>
      <c r="J59" s="139">
        <v>517.26</v>
      </c>
      <c r="K59" s="21"/>
      <c r="L59" s="31"/>
      <c r="M59" s="31"/>
      <c r="N59" s="32"/>
      <c r="O59" s="31"/>
      <c r="P59" s="31"/>
    </row>
    <row r="60" spans="1:16" ht="12.75">
      <c r="A60" s="6"/>
      <c r="B60" s="11"/>
      <c r="C60" s="6"/>
      <c r="D60" s="6"/>
      <c r="E60" s="6"/>
      <c r="F60" s="6"/>
      <c r="G60" s="6"/>
      <c r="H60" s="139" t="s">
        <v>204</v>
      </c>
      <c r="I60" s="139">
        <v>3</v>
      </c>
      <c r="J60" s="139">
        <v>517.26</v>
      </c>
      <c r="K60" s="21"/>
      <c r="L60" s="31"/>
      <c r="M60" s="31"/>
      <c r="N60" s="166" t="s">
        <v>219</v>
      </c>
      <c r="O60" s="167"/>
      <c r="P60" s="31"/>
    </row>
    <row r="61" spans="1:16" ht="12.75">
      <c r="A61" s="6"/>
      <c r="B61" s="11"/>
      <c r="C61" s="6"/>
      <c r="D61" s="6"/>
      <c r="E61" s="6"/>
      <c r="F61" s="6"/>
      <c r="G61" s="6"/>
      <c r="H61" s="139" t="s">
        <v>202</v>
      </c>
      <c r="I61" s="139">
        <v>5</v>
      </c>
      <c r="J61" s="139">
        <v>530.98</v>
      </c>
      <c r="K61" s="21"/>
      <c r="L61" s="31"/>
      <c r="M61" s="31"/>
      <c r="N61" s="168">
        <f>IF(C18=0,B18,C18)</f>
        <v>532.01</v>
      </c>
      <c r="O61" s="169"/>
      <c r="P61" s="31"/>
    </row>
    <row r="62" spans="1:16" ht="12.75">
      <c r="A62" s="6"/>
      <c r="B62" s="11"/>
      <c r="C62" s="6"/>
      <c r="D62" s="6"/>
      <c r="E62" s="6"/>
      <c r="F62" s="6"/>
      <c r="G62" s="6"/>
      <c r="H62" s="139" t="s">
        <v>151</v>
      </c>
      <c r="I62" s="139">
        <v>6</v>
      </c>
      <c r="J62" s="139">
        <v>553.45</v>
      </c>
      <c r="K62" s="21" t="s">
        <v>252</v>
      </c>
      <c r="L62" s="31"/>
      <c r="M62" s="31"/>
      <c r="N62" s="32"/>
      <c r="O62" s="31"/>
      <c r="P62" s="31"/>
    </row>
    <row r="63" spans="1:16" ht="12.75">
      <c r="A63" s="6"/>
      <c r="B63" s="11"/>
      <c r="C63" s="6"/>
      <c r="D63" s="6"/>
      <c r="E63" s="6"/>
      <c r="F63" s="6"/>
      <c r="G63" s="6"/>
      <c r="H63" s="139" t="s">
        <v>157</v>
      </c>
      <c r="I63" s="139">
        <v>11</v>
      </c>
      <c r="J63" s="142">
        <v>0</v>
      </c>
      <c r="K63" s="136">
        <f>Stipendi!J2</f>
        <v>0</v>
      </c>
      <c r="L63" s="31"/>
      <c r="M63" s="31"/>
      <c r="N63" s="31" t="s">
        <v>232</v>
      </c>
      <c r="O63" s="31"/>
      <c r="P63" s="31"/>
    </row>
    <row r="64" spans="1:16" ht="12.75">
      <c r="A64" s="6"/>
      <c r="B64" s="11"/>
      <c r="C64" s="6"/>
      <c r="D64" s="6"/>
      <c r="E64" s="6"/>
      <c r="F64" s="6"/>
      <c r="G64" s="6"/>
      <c r="H64" s="139" t="s">
        <v>153</v>
      </c>
      <c r="I64" s="139">
        <v>7</v>
      </c>
      <c r="J64" s="139">
        <v>532.01</v>
      </c>
      <c r="K64" s="21"/>
      <c r="L64" s="31"/>
      <c r="M64" s="31"/>
      <c r="N64" s="139">
        <v>7500</v>
      </c>
      <c r="O64" s="136">
        <v>70</v>
      </c>
      <c r="P64" s="31"/>
    </row>
    <row r="65" spans="1:16" ht="12.75">
      <c r="A65" s="6"/>
      <c r="B65" s="11"/>
      <c r="C65" s="6"/>
      <c r="D65" s="6"/>
      <c r="E65" s="6"/>
      <c r="F65" s="6"/>
      <c r="G65" s="6"/>
      <c r="H65" s="139" t="s">
        <v>152</v>
      </c>
      <c r="I65" s="139">
        <v>7</v>
      </c>
      <c r="J65" s="139">
        <v>532.01</v>
      </c>
      <c r="K65" s="21"/>
      <c r="L65" s="31"/>
      <c r="M65" s="31"/>
      <c r="N65" s="178">
        <v>28000</v>
      </c>
      <c r="O65" s="136">
        <f>50+20*O68</f>
        <v>58.878</v>
      </c>
      <c r="P65" s="31"/>
    </row>
    <row r="66" spans="1:16" ht="12.75">
      <c r="A66" s="6"/>
      <c r="B66" s="11"/>
      <c r="C66" s="6"/>
      <c r="D66" s="6"/>
      <c r="E66" s="6"/>
      <c r="F66" s="6"/>
      <c r="G66" s="6"/>
      <c r="H66" s="139" t="s">
        <v>155</v>
      </c>
      <c r="I66" s="139">
        <v>9</v>
      </c>
      <c r="J66" s="142">
        <v>538.3</v>
      </c>
      <c r="K66" s="21"/>
      <c r="L66" s="31"/>
      <c r="M66" s="32"/>
      <c r="N66" s="178">
        <v>30000</v>
      </c>
      <c r="O66" s="136">
        <f>50*O69</f>
        <v>277.515</v>
      </c>
      <c r="P66" s="31"/>
    </row>
    <row r="67" spans="1:16" ht="12.75">
      <c r="A67" s="6"/>
      <c r="B67" s="11"/>
      <c r="C67" s="6"/>
      <c r="D67" s="6"/>
      <c r="E67" s="6"/>
      <c r="F67" s="6"/>
      <c r="G67" s="6"/>
      <c r="H67" s="139" t="s">
        <v>156</v>
      </c>
      <c r="I67" s="139">
        <v>10</v>
      </c>
      <c r="J67" s="142">
        <v>538.3</v>
      </c>
      <c r="K67" s="21"/>
      <c r="L67" s="31"/>
      <c r="M67" s="32"/>
      <c r="N67" s="179" t="s">
        <v>233</v>
      </c>
      <c r="O67" s="180">
        <f>K22</f>
        <v>18899.421834091372</v>
      </c>
      <c r="P67" s="31"/>
    </row>
    <row r="68" spans="1:16" ht="12.75">
      <c r="A68" s="6"/>
      <c r="B68" s="11"/>
      <c r="C68" s="6"/>
      <c r="D68" s="6"/>
      <c r="E68" s="6"/>
      <c r="F68" s="6"/>
      <c r="G68" s="6"/>
      <c r="H68" s="139" t="s">
        <v>154</v>
      </c>
      <c r="I68" s="139">
        <v>8</v>
      </c>
      <c r="J68" s="139">
        <v>532.01</v>
      </c>
      <c r="K68" s="21"/>
      <c r="L68" s="31"/>
      <c r="M68" s="32"/>
      <c r="N68" s="160" t="s">
        <v>234</v>
      </c>
      <c r="O68" s="181">
        <f>ROUND((28000-O67)/20500,4)</f>
        <v>0.4439</v>
      </c>
      <c r="P68" s="31"/>
    </row>
    <row r="69" spans="1:16" ht="12.75">
      <c r="A69" s="6"/>
      <c r="B69" s="11"/>
      <c r="C69" s="6"/>
      <c r="D69" s="6"/>
      <c r="E69" s="6"/>
      <c r="F69" s="6"/>
      <c r="G69" s="6"/>
      <c r="H69" s="31"/>
      <c r="I69" s="31"/>
      <c r="J69" s="31" t="s">
        <v>290</v>
      </c>
      <c r="K69" s="31"/>
      <c r="L69" s="31"/>
      <c r="M69" s="31"/>
      <c r="N69" s="163" t="s">
        <v>235</v>
      </c>
      <c r="O69" s="182">
        <f>ROUND((30000-O67)/2000,4)</f>
        <v>5.5503</v>
      </c>
      <c r="P69" s="31"/>
    </row>
    <row r="70" spans="1:16" ht="12.75">
      <c r="A70" s="6"/>
      <c r="B70" s="11"/>
      <c r="C70" s="6"/>
      <c r="D70" s="6"/>
      <c r="E70" s="6"/>
      <c r="F70" s="6"/>
      <c r="G70" s="6"/>
      <c r="H70" s="139" t="s">
        <v>18</v>
      </c>
      <c r="I70" s="31"/>
      <c r="J70" s="202" t="s">
        <v>291</v>
      </c>
      <c r="K70" s="136">
        <v>309.87</v>
      </c>
      <c r="L70" s="31"/>
      <c r="M70" s="31"/>
      <c r="N70" s="186">
        <f>IF(C11&gt;2007,1,0)</f>
        <v>1</v>
      </c>
      <c r="O70" s="185">
        <f>IF(O67&gt;N66,0,IF(O67&gt;N65,O66,IF(O67&gt;N64,O65,O64)))</f>
        <v>58.878</v>
      </c>
      <c r="P70" s="31"/>
    </row>
    <row r="71" spans="1:16" ht="12.75">
      <c r="A71" s="6"/>
      <c r="B71" s="11"/>
      <c r="C71" s="6"/>
      <c r="D71" s="6"/>
      <c r="E71" s="6"/>
      <c r="F71" s="6"/>
      <c r="G71" s="6"/>
      <c r="H71" s="139" t="s">
        <v>243</v>
      </c>
      <c r="I71" s="31"/>
      <c r="J71" s="202" t="s">
        <v>292</v>
      </c>
      <c r="K71" s="136">
        <f>K70/12</f>
        <v>25.8225</v>
      </c>
      <c r="L71" s="31"/>
      <c r="M71" s="31"/>
      <c r="N71" s="183" t="s">
        <v>236</v>
      </c>
      <c r="O71" s="184">
        <f>O70*N70</f>
        <v>58.878</v>
      </c>
      <c r="P71" s="31"/>
    </row>
    <row r="72" spans="1:16" ht="12.75">
      <c r="A72" s="6"/>
      <c r="B72" s="11"/>
      <c r="C72" s="6"/>
      <c r="D72" s="6"/>
      <c r="E72" s="6"/>
      <c r="F72" s="6"/>
      <c r="G72" s="6"/>
      <c r="H72" s="31"/>
      <c r="I72" s="31"/>
      <c r="J72" s="31"/>
      <c r="K72" s="31"/>
      <c r="L72" s="31"/>
      <c r="M72" s="31"/>
      <c r="N72" s="31"/>
      <c r="O72" s="31"/>
      <c r="P72" s="31"/>
    </row>
    <row r="73" spans="1:16" ht="12.75">
      <c r="A73" s="6"/>
      <c r="B73" s="11"/>
      <c r="C73" s="6"/>
      <c r="D73" s="6"/>
      <c r="E73" s="6"/>
      <c r="F73" s="6"/>
      <c r="G73" s="6"/>
      <c r="H73" s="31"/>
      <c r="I73" s="31"/>
      <c r="J73" s="31"/>
      <c r="K73" s="31"/>
      <c r="L73" s="31"/>
      <c r="M73" s="31"/>
      <c r="N73" s="31"/>
      <c r="O73" s="31"/>
      <c r="P73" s="31"/>
    </row>
    <row r="74" spans="1:16" ht="12.75">
      <c r="A74" s="6"/>
      <c r="B74" s="11"/>
      <c r="C74" s="6"/>
      <c r="D74" s="6"/>
      <c r="E74" s="6"/>
      <c r="F74" s="6"/>
      <c r="G74" s="6"/>
      <c r="H74" s="31"/>
      <c r="I74" s="31"/>
      <c r="J74" s="31"/>
      <c r="K74" s="31"/>
      <c r="L74" s="31"/>
      <c r="M74" s="31"/>
      <c r="N74" s="31"/>
      <c r="O74" s="31"/>
      <c r="P74" s="31"/>
    </row>
    <row r="75" spans="1:16" ht="12.75">
      <c r="A75" s="6"/>
      <c r="B75" s="11"/>
      <c r="C75" s="6"/>
      <c r="D75" s="6"/>
      <c r="E75" s="6"/>
      <c r="F75" s="6"/>
      <c r="G75" s="6"/>
      <c r="H75" s="31"/>
      <c r="I75" s="31"/>
      <c r="J75" s="31"/>
      <c r="K75" s="31"/>
      <c r="L75" s="31"/>
      <c r="M75" s="31"/>
      <c r="N75" s="31"/>
      <c r="O75" s="31"/>
      <c r="P75" s="31"/>
    </row>
    <row r="76" spans="1:16" ht="12.75">
      <c r="A76" s="6"/>
      <c r="B76" s="11"/>
      <c r="C76" s="6"/>
      <c r="D76" s="6"/>
      <c r="E76" s="6"/>
      <c r="F76" s="6"/>
      <c r="G76" s="6"/>
      <c r="H76" s="31"/>
      <c r="I76" s="31"/>
      <c r="J76" s="31"/>
      <c r="K76" s="31"/>
      <c r="L76" s="31"/>
      <c r="M76" s="31"/>
      <c r="N76" s="31"/>
      <c r="O76" s="31"/>
      <c r="P76" s="31"/>
    </row>
    <row r="77" spans="1:16" ht="12.75">
      <c r="A77" s="6"/>
      <c r="B77" s="11"/>
      <c r="C77" s="6"/>
      <c r="D77" s="6"/>
      <c r="E77" s="6"/>
      <c r="F77" s="6"/>
      <c r="G77" s="6"/>
      <c r="H77" s="31"/>
      <c r="I77" s="31"/>
      <c r="J77" s="31"/>
      <c r="K77" s="31"/>
      <c r="L77" s="31"/>
      <c r="M77" s="31"/>
      <c r="N77" s="31"/>
      <c r="O77" s="31"/>
      <c r="P77" s="31"/>
    </row>
    <row r="78" spans="1:16" ht="12.75">
      <c r="A78" s="6"/>
      <c r="B78" s="11"/>
      <c r="C78" s="6"/>
      <c r="D78" s="6"/>
      <c r="E78" s="6"/>
      <c r="F78" s="6"/>
      <c r="G78" s="6"/>
      <c r="H78" s="31"/>
      <c r="I78" s="31"/>
      <c r="J78" s="31"/>
      <c r="K78" s="31"/>
      <c r="L78" s="31"/>
      <c r="M78" s="31"/>
      <c r="N78" s="31"/>
      <c r="O78" s="31"/>
      <c r="P78" s="31"/>
    </row>
    <row r="79" spans="1:16" ht="12.75">
      <c r="A79" s="6"/>
      <c r="B79" s="11" t="s">
        <v>0</v>
      </c>
      <c r="C79" s="6"/>
      <c r="D79" s="6"/>
      <c r="E79" s="6"/>
      <c r="F79" s="6"/>
      <c r="G79" s="6"/>
      <c r="H79" s="31"/>
      <c r="I79" s="31"/>
      <c r="J79" s="31"/>
      <c r="K79" s="31"/>
      <c r="L79" s="31"/>
      <c r="M79" s="31"/>
      <c r="N79" s="31"/>
      <c r="O79" s="31"/>
      <c r="P79" s="31"/>
    </row>
    <row r="80" spans="1:16" ht="12.75">
      <c r="A80" s="6"/>
      <c r="B80" s="11" t="s">
        <v>0</v>
      </c>
      <c r="C80" s="6"/>
      <c r="D80" s="6"/>
      <c r="E80" s="6"/>
      <c r="F80" s="6"/>
      <c r="G80" s="6"/>
      <c r="H80" s="31"/>
      <c r="I80" s="31"/>
      <c r="J80" s="31"/>
      <c r="K80" s="31"/>
      <c r="L80" s="31"/>
      <c r="M80" s="31"/>
      <c r="N80" s="31"/>
      <c r="O80" s="31"/>
      <c r="P80" s="31"/>
    </row>
    <row r="81" spans="1:16" ht="12.75">
      <c r="A81" s="6"/>
      <c r="B81" s="11" t="s">
        <v>0</v>
      </c>
      <c r="C81" s="6"/>
      <c r="D81" s="6"/>
      <c r="E81" s="6"/>
      <c r="F81" s="6"/>
      <c r="G81" s="6"/>
      <c r="H81" s="31"/>
      <c r="I81" s="31"/>
      <c r="J81" s="31"/>
      <c r="K81" s="31"/>
      <c r="L81" s="31"/>
      <c r="M81" s="31"/>
      <c r="N81" s="31"/>
      <c r="O81" s="31"/>
      <c r="P81" s="31"/>
    </row>
    <row r="82" spans="1:16" ht="12.75">
      <c r="A82" s="6"/>
      <c r="B82" s="11" t="s">
        <v>0</v>
      </c>
      <c r="C82" s="6"/>
      <c r="D82" s="6"/>
      <c r="E82" s="6"/>
      <c r="F82" s="6"/>
      <c r="G82" s="6"/>
      <c r="H82" s="31"/>
      <c r="I82" s="31"/>
      <c r="J82" s="31"/>
      <c r="K82" s="31"/>
      <c r="L82" s="31"/>
      <c r="M82" s="31"/>
      <c r="N82" s="31"/>
      <c r="O82" s="31"/>
      <c r="P82" s="31"/>
    </row>
    <row r="83" spans="1:16" ht="12.75">
      <c r="A83" s="6"/>
      <c r="B83" s="11" t="s">
        <v>0</v>
      </c>
      <c r="C83" s="6"/>
      <c r="D83" s="6"/>
      <c r="E83" s="6"/>
      <c r="F83" s="6"/>
      <c r="G83" s="6"/>
      <c r="H83" s="31"/>
      <c r="I83" s="31"/>
      <c r="J83" s="31"/>
      <c r="K83" s="31"/>
      <c r="L83" s="31"/>
      <c r="M83" s="31"/>
      <c r="N83" s="31"/>
      <c r="O83" s="31"/>
      <c r="P83" s="31"/>
    </row>
    <row r="84" spans="1:16" ht="12.75">
      <c r="A84" s="6"/>
      <c r="B84" s="11" t="s">
        <v>0</v>
      </c>
      <c r="C84" s="6"/>
      <c r="D84" s="6"/>
      <c r="E84" s="6"/>
      <c r="F84" s="6"/>
      <c r="G84" s="6"/>
      <c r="H84" s="31"/>
      <c r="I84" s="31"/>
      <c r="J84" s="31"/>
      <c r="K84" s="31"/>
      <c r="L84" s="31"/>
      <c r="M84" s="31"/>
      <c r="N84" s="31"/>
      <c r="O84" s="31"/>
      <c r="P84" s="31"/>
    </row>
    <row r="85" spans="1:16" ht="12.75">
      <c r="A85" s="6"/>
      <c r="B85" s="11" t="s">
        <v>0</v>
      </c>
      <c r="C85" s="6"/>
      <c r="D85" s="6"/>
      <c r="E85" s="6"/>
      <c r="F85" s="6"/>
      <c r="G85" s="6"/>
      <c r="H85" s="31"/>
      <c r="I85" s="31"/>
      <c r="J85" s="31"/>
      <c r="K85" s="31"/>
      <c r="L85" s="31"/>
      <c r="M85" s="31"/>
      <c r="N85" s="31"/>
      <c r="O85" s="31"/>
      <c r="P85" s="31"/>
    </row>
    <row r="86" spans="1:16" ht="12.75">
      <c r="A86" s="6"/>
      <c r="B86" s="11" t="s">
        <v>0</v>
      </c>
      <c r="C86" s="6"/>
      <c r="D86" s="6"/>
      <c r="E86" s="6"/>
      <c r="F86" s="6"/>
      <c r="G86" s="6"/>
      <c r="H86" s="31"/>
      <c r="I86" s="31"/>
      <c r="J86" s="31"/>
      <c r="K86" s="31"/>
      <c r="L86" s="31"/>
      <c r="M86" s="31"/>
      <c r="N86" s="31"/>
      <c r="O86" s="31"/>
      <c r="P86" s="31"/>
    </row>
    <row r="87" spans="1:16" ht="12.75">
      <c r="A87" s="6"/>
      <c r="B87" s="11" t="s">
        <v>0</v>
      </c>
      <c r="C87" s="6"/>
      <c r="D87" s="6"/>
      <c r="E87" s="6"/>
      <c r="F87" s="6"/>
      <c r="G87" s="6"/>
      <c r="H87" s="31"/>
      <c r="I87" s="31"/>
      <c r="J87" s="31"/>
      <c r="K87" s="31"/>
      <c r="L87" s="31"/>
      <c r="M87" s="31"/>
      <c r="N87" s="31"/>
      <c r="O87" s="31"/>
      <c r="P87" s="31"/>
    </row>
    <row r="88" spans="1:16" ht="12.75">
      <c r="A88" s="6"/>
      <c r="B88" s="11" t="s">
        <v>0</v>
      </c>
      <c r="C88" s="6"/>
      <c r="D88" s="6"/>
      <c r="E88" s="6"/>
      <c r="F88" s="6"/>
      <c r="G88" s="6"/>
      <c r="H88" s="31"/>
      <c r="I88" s="31"/>
      <c r="J88" s="31"/>
      <c r="K88" s="31"/>
      <c r="L88" s="31"/>
      <c r="M88" s="31"/>
      <c r="N88" s="31"/>
      <c r="O88" s="31"/>
      <c r="P88" s="31"/>
    </row>
    <row r="89" spans="1:16" ht="12.75">
      <c r="A89" s="6"/>
      <c r="B89" s="11" t="s">
        <v>0</v>
      </c>
      <c r="C89" s="6"/>
      <c r="D89" s="6"/>
      <c r="E89" s="6"/>
      <c r="F89" s="6"/>
      <c r="G89" s="6"/>
      <c r="H89" s="31"/>
      <c r="I89" s="31"/>
      <c r="J89" s="31"/>
      <c r="K89" s="31"/>
      <c r="L89" s="31"/>
      <c r="M89" s="31"/>
      <c r="N89" s="31"/>
      <c r="O89" s="31"/>
      <c r="P89" s="31"/>
    </row>
    <row r="90" spans="1:16" ht="12.75">
      <c r="A90" s="6"/>
      <c r="B90" s="11" t="s">
        <v>0</v>
      </c>
      <c r="C90" s="6"/>
      <c r="D90" s="6"/>
      <c r="E90" s="6"/>
      <c r="F90" s="6"/>
      <c r="G90" s="6"/>
      <c r="H90" s="31"/>
      <c r="I90" s="31"/>
      <c r="J90" s="31"/>
      <c r="K90" s="31"/>
      <c r="L90" s="31"/>
      <c r="M90" s="31"/>
      <c r="N90" s="31"/>
      <c r="O90" s="31"/>
      <c r="P90" s="31"/>
    </row>
    <row r="91" spans="1:16" ht="12.75">
      <c r="A91" s="6"/>
      <c r="B91" s="11" t="s">
        <v>0</v>
      </c>
      <c r="C91" s="6"/>
      <c r="D91" s="6"/>
      <c r="E91" s="6"/>
      <c r="F91" s="6"/>
      <c r="G91" s="6"/>
      <c r="H91" s="31"/>
      <c r="I91" s="31"/>
      <c r="J91" s="31"/>
      <c r="K91" s="31"/>
      <c r="L91" s="31"/>
      <c r="M91" s="31"/>
      <c r="N91" s="31"/>
      <c r="O91" s="31"/>
      <c r="P91" s="31"/>
    </row>
    <row r="92" spans="1:16" ht="12.75">
      <c r="A92" s="6"/>
      <c r="B92" s="11" t="s">
        <v>0</v>
      </c>
      <c r="C92" s="6"/>
      <c r="D92" s="6"/>
      <c r="E92" s="6"/>
      <c r="F92" s="6"/>
      <c r="G92" s="6"/>
      <c r="H92" s="31"/>
      <c r="I92" s="31"/>
      <c r="J92" s="31"/>
      <c r="K92" s="31"/>
      <c r="L92" s="31"/>
      <c r="M92" s="31"/>
      <c r="N92" s="31"/>
      <c r="O92" s="31"/>
      <c r="P92" s="31"/>
    </row>
    <row r="93" spans="1:16" ht="12.75">
      <c r="A93" s="6"/>
      <c r="B93" s="11"/>
      <c r="C93" s="6"/>
      <c r="D93" s="6"/>
      <c r="E93" s="6"/>
      <c r="F93" s="6"/>
      <c r="G93" s="6"/>
      <c r="H93" s="31"/>
      <c r="I93" s="31"/>
      <c r="J93" s="31"/>
      <c r="K93" s="31"/>
      <c r="L93" s="31"/>
      <c r="M93" s="31"/>
      <c r="N93" s="31"/>
      <c r="O93" s="31"/>
      <c r="P93" s="31"/>
    </row>
    <row r="94" spans="1:16" ht="12.75">
      <c r="A94" s="6"/>
      <c r="B94" s="11"/>
      <c r="C94" s="6"/>
      <c r="D94" s="6"/>
      <c r="E94" s="6"/>
      <c r="F94" s="6"/>
      <c r="G94" s="6"/>
      <c r="H94" s="31"/>
      <c r="I94" s="31"/>
      <c r="J94" s="31"/>
      <c r="K94" s="31"/>
      <c r="L94" s="31"/>
      <c r="M94" s="31"/>
      <c r="N94" s="31"/>
      <c r="O94" s="31"/>
      <c r="P94" s="31"/>
    </row>
    <row r="95" spans="1:16" ht="12.75">
      <c r="A95" s="6"/>
      <c r="B95" s="11" t="s">
        <v>0</v>
      </c>
      <c r="C95" s="6"/>
      <c r="D95" s="6"/>
      <c r="E95" s="6"/>
      <c r="F95" s="6"/>
      <c r="G95" s="6"/>
      <c r="H95" s="31"/>
      <c r="I95" s="31"/>
      <c r="J95" s="31"/>
      <c r="K95" s="31"/>
      <c r="L95" s="31"/>
      <c r="M95" s="31"/>
      <c r="N95" s="31"/>
      <c r="O95" s="31"/>
      <c r="P95" s="31"/>
    </row>
    <row r="96" spans="1:16" ht="12.75">
      <c r="A96" s="6"/>
      <c r="B96" s="11" t="s">
        <v>0</v>
      </c>
      <c r="C96" s="6"/>
      <c r="D96" s="6"/>
      <c r="E96" s="6"/>
      <c r="F96" s="6"/>
      <c r="G96" s="6"/>
      <c r="H96" s="31"/>
      <c r="I96" s="31"/>
      <c r="J96" s="31"/>
      <c r="K96" s="31"/>
      <c r="L96" s="31"/>
      <c r="M96" s="31"/>
      <c r="N96" s="31"/>
      <c r="O96" s="31"/>
      <c r="P96" s="31"/>
    </row>
    <row r="97" spans="1:16" ht="12.75">
      <c r="A97" s="6"/>
      <c r="B97" s="11" t="s">
        <v>0</v>
      </c>
      <c r="C97" s="6"/>
      <c r="D97" s="6"/>
      <c r="E97" s="6"/>
      <c r="F97" s="6"/>
      <c r="G97" s="6"/>
      <c r="H97" s="31"/>
      <c r="I97" s="31"/>
      <c r="J97" s="31"/>
      <c r="K97" s="31"/>
      <c r="L97" s="31"/>
      <c r="M97" s="31"/>
      <c r="N97" s="31"/>
      <c r="O97" s="31"/>
      <c r="P97" s="31"/>
    </row>
    <row r="98" spans="1:16" ht="12.75">
      <c r="A98" s="6"/>
      <c r="B98" s="11" t="s">
        <v>0</v>
      </c>
      <c r="C98" s="6"/>
      <c r="D98" s="6"/>
      <c r="E98" s="6"/>
      <c r="F98" s="6"/>
      <c r="G98" s="6"/>
      <c r="H98" s="31"/>
      <c r="I98" s="31"/>
      <c r="J98" s="31"/>
      <c r="K98" s="31"/>
      <c r="L98" s="31"/>
      <c r="M98" s="31"/>
      <c r="N98" s="31"/>
      <c r="O98" s="31"/>
      <c r="P98" s="31"/>
    </row>
    <row r="99" spans="1:16" ht="12.75">
      <c r="A99" s="6"/>
      <c r="B99" s="11" t="s">
        <v>0</v>
      </c>
      <c r="C99" s="6"/>
      <c r="D99" s="6"/>
      <c r="E99" s="6"/>
      <c r="F99" s="6"/>
      <c r="G99" s="6"/>
      <c r="H99" s="31"/>
      <c r="I99" s="31"/>
      <c r="J99" s="31"/>
      <c r="K99" s="31"/>
      <c r="L99" s="31"/>
      <c r="M99" s="31"/>
      <c r="N99" s="31"/>
      <c r="O99" s="31"/>
      <c r="P99" s="31"/>
    </row>
    <row r="100" spans="1:16" ht="12.75">
      <c r="A100" s="6"/>
      <c r="B100" s="11" t="s">
        <v>0</v>
      </c>
      <c r="C100" s="6"/>
      <c r="D100" s="6"/>
      <c r="E100" s="6"/>
      <c r="F100" s="6"/>
      <c r="G100" s="6"/>
      <c r="H100" s="31"/>
      <c r="I100" s="31"/>
      <c r="J100" s="31"/>
      <c r="K100" s="31"/>
      <c r="L100" s="31"/>
      <c r="M100" s="31"/>
      <c r="N100" s="31"/>
      <c r="O100" s="31"/>
      <c r="P100" s="31"/>
    </row>
    <row r="101" spans="1:16" ht="12.75">
      <c r="A101" s="6"/>
      <c r="B101" s="11" t="s">
        <v>0</v>
      </c>
      <c r="C101" s="6"/>
      <c r="D101" s="6"/>
      <c r="E101" s="6"/>
      <c r="F101" s="6"/>
      <c r="G101" s="6"/>
      <c r="H101" s="31"/>
      <c r="I101" s="31"/>
      <c r="J101" s="31"/>
      <c r="K101" s="31"/>
      <c r="L101" s="31"/>
      <c r="M101" s="31"/>
      <c r="N101" s="31"/>
      <c r="O101" s="31"/>
      <c r="P101" s="31"/>
    </row>
    <row r="102" spans="1:16" ht="12.75">
      <c r="A102" s="6"/>
      <c r="B102" s="11"/>
      <c r="C102" s="6"/>
      <c r="D102" s="6"/>
      <c r="E102" s="6"/>
      <c r="F102" s="6"/>
      <c r="G102" s="6"/>
      <c r="H102" s="31"/>
      <c r="I102" s="31"/>
      <c r="J102" s="31"/>
      <c r="K102" s="31"/>
      <c r="L102" s="31"/>
      <c r="M102" s="31"/>
      <c r="N102" s="31"/>
      <c r="O102" s="31"/>
      <c r="P102" s="31"/>
    </row>
    <row r="103" spans="1:16" ht="12.75">
      <c r="A103" s="6"/>
      <c r="B103" s="11"/>
      <c r="C103" s="6"/>
      <c r="D103" s="6"/>
      <c r="E103" s="6"/>
      <c r="F103" s="6"/>
      <c r="G103" s="6"/>
      <c r="H103" s="31"/>
      <c r="I103" s="31"/>
      <c r="J103" s="31"/>
      <c r="K103" s="31"/>
      <c r="L103" s="31"/>
      <c r="M103" s="31"/>
      <c r="N103" s="31"/>
      <c r="O103" s="31"/>
      <c r="P103" s="31"/>
    </row>
    <row r="104" spans="1:16" ht="12.75">
      <c r="A104" s="6"/>
      <c r="B104" s="11"/>
      <c r="C104" s="6"/>
      <c r="D104" s="6"/>
      <c r="E104" s="6"/>
      <c r="F104" s="6"/>
      <c r="G104" s="6"/>
      <c r="H104" s="31"/>
      <c r="I104" s="31"/>
      <c r="J104" s="31"/>
      <c r="K104" s="31"/>
      <c r="L104" s="31"/>
      <c r="M104" s="31"/>
      <c r="N104" s="31"/>
      <c r="O104" s="31"/>
      <c r="P104" s="31"/>
    </row>
    <row r="105" spans="1:16" ht="12.75">
      <c r="A105" s="6"/>
      <c r="B105" s="11" t="s">
        <v>0</v>
      </c>
      <c r="C105" s="6"/>
      <c r="D105" s="6"/>
      <c r="E105" s="6"/>
      <c r="F105" s="6"/>
      <c r="G105" s="6"/>
      <c r="H105" s="31"/>
      <c r="I105" s="31"/>
      <c r="J105" s="31"/>
      <c r="K105" s="31"/>
      <c r="L105" s="31"/>
      <c r="M105" s="31"/>
      <c r="N105" s="31"/>
      <c r="O105" s="31"/>
      <c r="P105" s="31"/>
    </row>
    <row r="106" spans="1:16" ht="12.75">
      <c r="A106" s="6"/>
      <c r="B106" s="11" t="s">
        <v>0</v>
      </c>
      <c r="C106" s="6"/>
      <c r="D106" s="6"/>
      <c r="E106" s="6"/>
      <c r="F106" s="6"/>
      <c r="G106" s="6"/>
      <c r="H106" s="31"/>
      <c r="I106" s="31"/>
      <c r="J106" s="31"/>
      <c r="K106" s="31"/>
      <c r="L106" s="31"/>
      <c r="M106" s="31"/>
      <c r="N106" s="31"/>
      <c r="O106" s="31"/>
      <c r="P106" s="31"/>
    </row>
    <row r="107" spans="1:16" ht="12.75">
      <c r="A107" s="6"/>
      <c r="B107" s="11" t="s">
        <v>0</v>
      </c>
      <c r="C107" s="6"/>
      <c r="D107" s="6"/>
      <c r="E107" s="6"/>
      <c r="F107" s="6"/>
      <c r="G107" s="6"/>
      <c r="H107" s="31"/>
      <c r="I107" s="31"/>
      <c r="J107" s="31"/>
      <c r="K107" s="31"/>
      <c r="L107" s="31"/>
      <c r="M107" s="31"/>
      <c r="N107" s="31"/>
      <c r="O107" s="31"/>
      <c r="P107" s="31"/>
    </row>
    <row r="108" spans="1:16" ht="12.75">
      <c r="A108" s="6"/>
      <c r="B108" s="11" t="s">
        <v>0</v>
      </c>
      <c r="C108" s="6"/>
      <c r="D108" s="6"/>
      <c r="E108" s="6"/>
      <c r="F108" s="6"/>
      <c r="G108" s="6"/>
      <c r="H108" s="31"/>
      <c r="I108" s="31"/>
      <c r="J108" s="31"/>
      <c r="K108" s="31"/>
      <c r="L108" s="31"/>
      <c r="M108" s="31"/>
      <c r="N108" s="31"/>
      <c r="O108" s="31"/>
      <c r="P108" s="31"/>
    </row>
    <row r="109" spans="1:16" ht="12.75">
      <c r="A109" s="6"/>
      <c r="B109" s="11" t="s">
        <v>0</v>
      </c>
      <c r="C109" s="6"/>
      <c r="D109" s="6"/>
      <c r="E109" s="6"/>
      <c r="F109" s="6"/>
      <c r="G109" s="6"/>
      <c r="H109" s="31"/>
      <c r="I109" s="31"/>
      <c r="J109" s="31"/>
      <c r="K109" s="31"/>
      <c r="L109" s="31"/>
      <c r="M109" s="31"/>
      <c r="N109" s="31"/>
      <c r="O109" s="31"/>
      <c r="P109" s="31"/>
    </row>
    <row r="110" spans="1:16" ht="12.75">
      <c r="A110" s="6"/>
      <c r="B110" s="11" t="s">
        <v>0</v>
      </c>
      <c r="C110" s="6"/>
      <c r="D110" s="6"/>
      <c r="E110" s="6"/>
      <c r="F110" s="6"/>
      <c r="G110" s="6"/>
      <c r="H110" s="31"/>
      <c r="I110" s="31"/>
      <c r="J110" s="31"/>
      <c r="K110" s="31"/>
      <c r="L110" s="31"/>
      <c r="M110" s="31"/>
      <c r="N110" s="31"/>
      <c r="O110" s="31"/>
      <c r="P110" s="31"/>
    </row>
    <row r="111" spans="1:16" ht="12.75">
      <c r="A111" s="6"/>
      <c r="B111" s="11" t="s">
        <v>0</v>
      </c>
      <c r="C111" s="6"/>
      <c r="D111" s="6"/>
      <c r="E111" s="6"/>
      <c r="F111" s="6"/>
      <c r="G111" s="6"/>
      <c r="H111" s="31"/>
      <c r="I111" s="31"/>
      <c r="J111" s="31"/>
      <c r="K111" s="31"/>
      <c r="L111" s="31"/>
      <c r="M111" s="31"/>
      <c r="N111" s="31"/>
      <c r="O111" s="31"/>
      <c r="P111" s="31"/>
    </row>
    <row r="112" spans="1:16" ht="12.75">
      <c r="A112" s="6"/>
      <c r="B112" s="11" t="s">
        <v>0</v>
      </c>
      <c r="C112" s="6"/>
      <c r="D112" s="6"/>
      <c r="E112" s="6"/>
      <c r="F112" s="6"/>
      <c r="G112" s="6"/>
      <c r="H112" s="31"/>
      <c r="I112" s="31"/>
      <c r="J112" s="31"/>
      <c r="K112" s="31"/>
      <c r="L112" s="31"/>
      <c r="M112" s="31"/>
      <c r="N112" s="31"/>
      <c r="O112" s="31"/>
      <c r="P112" s="31"/>
    </row>
    <row r="113" spans="1:16" ht="12.75">
      <c r="A113" s="6"/>
      <c r="B113" s="11" t="s">
        <v>0</v>
      </c>
      <c r="C113" s="6"/>
      <c r="D113" s="6"/>
      <c r="E113" s="6"/>
      <c r="F113" s="6"/>
      <c r="G113" s="6"/>
      <c r="H113" s="31"/>
      <c r="I113" s="31"/>
      <c r="J113" s="31"/>
      <c r="K113" s="31"/>
      <c r="L113" s="31"/>
      <c r="M113" s="31"/>
      <c r="N113" s="31"/>
      <c r="O113" s="31"/>
      <c r="P113" s="31"/>
    </row>
    <row r="114" spans="1:16" ht="12.75">
      <c r="A114" s="6"/>
      <c r="B114" s="11" t="s">
        <v>0</v>
      </c>
      <c r="C114" s="6"/>
      <c r="D114" s="6"/>
      <c r="E114" s="6"/>
      <c r="F114" s="6"/>
      <c r="G114" s="6"/>
      <c r="H114" s="31"/>
      <c r="I114" s="31"/>
      <c r="J114" s="31"/>
      <c r="K114" s="31"/>
      <c r="L114" s="31"/>
      <c r="M114" s="31"/>
      <c r="N114" s="31"/>
      <c r="O114" s="31"/>
      <c r="P114" s="31"/>
    </row>
    <row r="115" spans="1:16" ht="12.75">
      <c r="A115" s="6"/>
      <c r="B115" s="11" t="s">
        <v>0</v>
      </c>
      <c r="C115" s="6"/>
      <c r="D115" s="6"/>
      <c r="E115" s="6"/>
      <c r="F115" s="6"/>
      <c r="G115" s="6"/>
      <c r="H115" s="31"/>
      <c r="I115" s="31"/>
      <c r="J115" s="31"/>
      <c r="K115" s="31"/>
      <c r="L115" s="31"/>
      <c r="M115" s="31"/>
      <c r="N115" s="31"/>
      <c r="O115" s="31"/>
      <c r="P115" s="31"/>
    </row>
    <row r="116" spans="1:16" ht="12.75">
      <c r="A116" s="6"/>
      <c r="B116" s="11" t="s">
        <v>0</v>
      </c>
      <c r="C116" s="6"/>
      <c r="D116" s="6"/>
      <c r="E116" s="6"/>
      <c r="F116" s="6"/>
      <c r="G116" s="6"/>
      <c r="H116" s="31"/>
      <c r="I116" s="31"/>
      <c r="J116" s="31"/>
      <c r="K116" s="31"/>
      <c r="L116" s="31"/>
      <c r="M116" s="31"/>
      <c r="N116" s="31"/>
      <c r="O116" s="31"/>
      <c r="P116" s="31"/>
    </row>
    <row r="117" spans="1:16" ht="12.75">
      <c r="A117" s="6"/>
      <c r="B117" s="11" t="s">
        <v>0</v>
      </c>
      <c r="C117" s="6"/>
      <c r="D117" s="6"/>
      <c r="E117" s="6"/>
      <c r="F117" s="6"/>
      <c r="G117" s="6"/>
      <c r="H117" s="31"/>
      <c r="I117" s="31"/>
      <c r="J117" s="31"/>
      <c r="K117" s="31"/>
      <c r="L117" s="31"/>
      <c r="M117" s="31"/>
      <c r="N117" s="31"/>
      <c r="O117" s="31"/>
      <c r="P117" s="31"/>
    </row>
    <row r="118" spans="1:16" ht="12.75">
      <c r="A118" s="6"/>
      <c r="B118" s="11" t="s">
        <v>0</v>
      </c>
      <c r="C118" s="6"/>
      <c r="D118" s="6"/>
      <c r="E118" s="6"/>
      <c r="F118" s="6"/>
      <c r="G118" s="6"/>
      <c r="H118" s="31"/>
      <c r="I118" s="31"/>
      <c r="J118" s="31"/>
      <c r="K118" s="31"/>
      <c r="L118" s="31"/>
      <c r="M118" s="31"/>
      <c r="N118" s="31"/>
      <c r="O118" s="31"/>
      <c r="P118" s="31"/>
    </row>
    <row r="119" spans="1:20" ht="12.75">
      <c r="A119" s="6"/>
      <c r="B119" s="11"/>
      <c r="C119" s="6"/>
      <c r="D119" s="6"/>
      <c r="E119" s="6"/>
      <c r="F119" s="6"/>
      <c r="G119" s="6"/>
      <c r="H119" s="31"/>
      <c r="I119" s="31"/>
      <c r="J119" s="31"/>
      <c r="K119" s="31"/>
      <c r="L119" s="31"/>
      <c r="M119" s="31"/>
      <c r="N119" s="35"/>
      <c r="O119" s="35"/>
      <c r="P119" s="35"/>
      <c r="Q119" s="10"/>
      <c r="R119" s="10"/>
      <c r="S119" s="10"/>
      <c r="T119" s="10"/>
    </row>
    <row r="120" spans="1:20" ht="12.75">
      <c r="A120" s="6"/>
      <c r="B120" s="11" t="s">
        <v>0</v>
      </c>
      <c r="C120" s="6"/>
      <c r="D120" s="6"/>
      <c r="E120" s="6"/>
      <c r="F120" s="6"/>
      <c r="G120" s="6"/>
      <c r="H120" s="35" t="s">
        <v>8</v>
      </c>
      <c r="I120" s="35"/>
      <c r="J120" s="35"/>
      <c r="K120" s="35"/>
      <c r="L120" s="35"/>
      <c r="M120" s="35"/>
      <c r="N120" s="31"/>
      <c r="O120" s="31"/>
      <c r="P120" s="31"/>
      <c r="Q120" s="10"/>
      <c r="R120" s="10"/>
      <c r="S120" s="10"/>
      <c r="T120" s="10"/>
    </row>
    <row r="121" spans="1:14" ht="12.75">
      <c r="A121" s="6"/>
      <c r="B121" s="11" t="s">
        <v>0</v>
      </c>
      <c r="C121" s="6"/>
      <c r="D121" s="6"/>
      <c r="E121" s="6"/>
      <c r="F121" s="6"/>
      <c r="G121" s="6"/>
      <c r="H121" s="31"/>
      <c r="I121" s="31"/>
      <c r="J121" s="31"/>
      <c r="K121" s="31"/>
      <c r="L121" s="31"/>
      <c r="M121" s="31"/>
      <c r="N121" s="10"/>
    </row>
    <row r="122" spans="1:14" ht="12.75">
      <c r="A122" s="6"/>
      <c r="B122" s="11" t="s">
        <v>0</v>
      </c>
      <c r="C122" s="6"/>
      <c r="D122" s="6"/>
      <c r="E122" s="6"/>
      <c r="F122" s="6"/>
      <c r="G122" s="6"/>
      <c r="H122" s="10"/>
      <c r="I122" s="10"/>
      <c r="J122" s="10"/>
      <c r="K122" s="10"/>
      <c r="L122" s="10"/>
      <c r="M122" s="10"/>
      <c r="N122" s="10"/>
    </row>
    <row r="123" spans="1:14" ht="12.75">
      <c r="A123" s="6"/>
      <c r="B123" s="11" t="s">
        <v>0</v>
      </c>
      <c r="C123" s="6"/>
      <c r="D123" s="6"/>
      <c r="E123" s="6"/>
      <c r="F123" s="6"/>
      <c r="G123" s="6"/>
      <c r="H123" s="10"/>
      <c r="I123" s="10"/>
      <c r="J123" s="10"/>
      <c r="K123" s="10"/>
      <c r="L123" s="10" t="s">
        <v>0</v>
      </c>
      <c r="M123" s="10"/>
      <c r="N123" s="10"/>
    </row>
    <row r="124" spans="1:14" ht="20.25">
      <c r="A124" s="6"/>
      <c r="B124" s="11"/>
      <c r="C124" s="6"/>
      <c r="D124" s="6"/>
      <c r="E124" s="6"/>
      <c r="F124" s="6"/>
      <c r="G124" s="6"/>
      <c r="H124" s="12" t="str">
        <f>A3</f>
        <v>minapoli software</v>
      </c>
      <c r="I124" s="12"/>
      <c r="J124" s="12"/>
      <c r="K124" s="10"/>
      <c r="L124" s="10"/>
      <c r="M124" s="10"/>
      <c r="N124" s="10"/>
    </row>
    <row r="125" spans="1:14" ht="20.25">
      <c r="A125" s="6"/>
      <c r="B125" s="11"/>
      <c r="C125" s="6"/>
      <c r="D125" s="6"/>
      <c r="E125" s="6"/>
      <c r="F125" s="6"/>
      <c r="G125" s="6"/>
      <c r="H125" s="12"/>
      <c r="I125" s="10"/>
      <c r="J125" s="10"/>
      <c r="K125" s="10"/>
      <c r="L125" s="10"/>
      <c r="M125" s="10"/>
      <c r="N125" s="10"/>
    </row>
    <row r="126" spans="1:14" ht="15.75">
      <c r="A126" s="6"/>
      <c r="B126" s="11"/>
      <c r="C126" s="6"/>
      <c r="D126" s="6"/>
      <c r="E126" s="6"/>
      <c r="F126" s="6"/>
      <c r="G126" s="6"/>
      <c r="H126" s="59" t="s">
        <v>138</v>
      </c>
      <c r="I126" s="10"/>
      <c r="J126" s="10"/>
      <c r="K126" s="10"/>
      <c r="L126" s="10"/>
      <c r="M126" s="192">
        <f>B11</f>
        <v>42614</v>
      </c>
      <c r="N126" s="10"/>
    </row>
    <row r="127" spans="1:14" ht="12.75">
      <c r="A127" s="6"/>
      <c r="B127" s="11"/>
      <c r="C127" s="6"/>
      <c r="D127" s="6"/>
      <c r="E127" s="6"/>
      <c r="F127" s="6"/>
      <c r="G127" s="6"/>
      <c r="I127" s="10"/>
      <c r="J127" s="10"/>
      <c r="K127" s="10"/>
      <c r="L127" s="10"/>
      <c r="M127" s="10"/>
      <c r="N127" s="10"/>
    </row>
    <row r="128" spans="1:14" ht="12.75">
      <c r="A128" s="6"/>
      <c r="B128" s="11"/>
      <c r="C128" s="6"/>
      <c r="D128" s="6"/>
      <c r="E128" s="6"/>
      <c r="F128" s="6"/>
      <c r="G128" s="6"/>
      <c r="I128" s="10"/>
      <c r="J128" s="10"/>
      <c r="K128" s="10"/>
      <c r="L128" s="14" t="s">
        <v>0</v>
      </c>
      <c r="M128" s="14" t="s">
        <v>0</v>
      </c>
      <c r="N128" s="10"/>
    </row>
    <row r="129" spans="1:14" ht="12.75">
      <c r="A129" s="6"/>
      <c r="B129" s="11"/>
      <c r="C129" s="6"/>
      <c r="D129" s="6"/>
      <c r="E129" s="6"/>
      <c r="F129" s="6"/>
      <c r="G129" s="6"/>
      <c r="I129" s="13"/>
      <c r="J129" s="13"/>
      <c r="K129" s="14" t="s">
        <v>0</v>
      </c>
      <c r="L129" s="10"/>
      <c r="M129" s="10"/>
      <c r="N129" s="14"/>
    </row>
    <row r="130" spans="1:14" ht="12.75">
      <c r="A130" s="6"/>
      <c r="B130" s="11"/>
      <c r="C130" s="6"/>
      <c r="D130" s="6"/>
      <c r="E130" s="6"/>
      <c r="F130" s="6"/>
      <c r="G130" s="6"/>
      <c r="H130" s="60" t="str">
        <f>A6</f>
        <v>BIANCHI BIANCA</v>
      </c>
      <c r="I130" s="10"/>
      <c r="J130" s="10"/>
      <c r="K130" s="39"/>
      <c r="L130" s="15"/>
      <c r="M130" s="39"/>
      <c r="N130" s="14"/>
    </row>
    <row r="131" spans="1:14" ht="12.75">
      <c r="A131" s="6"/>
      <c r="B131" s="11"/>
      <c r="C131" s="6"/>
      <c r="D131" s="6"/>
      <c r="E131" s="6"/>
      <c r="F131" s="6"/>
      <c r="G131" s="6"/>
      <c r="H131" s="60" t="str">
        <f>A8</f>
        <v>Insegnante di scuola elementare </v>
      </c>
      <c r="I131" s="10"/>
      <c r="J131" s="10"/>
      <c r="K131" s="15"/>
      <c r="L131" s="15"/>
      <c r="M131" s="15"/>
      <c r="N131" s="14"/>
    </row>
    <row r="132" spans="1:14" ht="12.75">
      <c r="A132" s="6"/>
      <c r="B132" s="11"/>
      <c r="C132" s="6"/>
      <c r="D132" s="6"/>
      <c r="E132" s="6"/>
      <c r="F132" s="6"/>
      <c r="G132" s="6"/>
      <c r="H132" s="10"/>
      <c r="I132" s="10"/>
      <c r="J132" s="10"/>
      <c r="K132" s="14" t="str">
        <f>K4</f>
        <v>euro</v>
      </c>
      <c r="L132" s="58"/>
      <c r="M132" s="15"/>
      <c r="N132" s="14"/>
    </row>
    <row r="133" spans="1:14" ht="12.75">
      <c r="A133" s="6"/>
      <c r="B133" s="11"/>
      <c r="C133" s="6"/>
      <c r="D133" s="6"/>
      <c r="E133" s="6"/>
      <c r="F133" s="6"/>
      <c r="G133" s="6"/>
      <c r="H133" s="10" t="s">
        <v>0</v>
      </c>
      <c r="I133" s="10"/>
      <c r="J133" s="10"/>
      <c r="K133" s="52"/>
      <c r="L133" s="37"/>
      <c r="M133" s="15"/>
      <c r="N133" s="10"/>
    </row>
    <row r="134" spans="1:14" ht="12.75">
      <c r="A134" s="6"/>
      <c r="B134" s="11"/>
      <c r="C134" s="6"/>
      <c r="D134" s="6"/>
      <c r="E134" s="6"/>
      <c r="F134" s="6"/>
      <c r="G134" s="6"/>
      <c r="H134" s="10" t="str">
        <f aca="true" t="shared" si="0" ref="H134:H145">H6</f>
        <v>Stipendio annuo utile alla buonuscita</v>
      </c>
      <c r="I134" s="10"/>
      <c r="J134" s="10"/>
      <c r="K134" s="52">
        <f aca="true" t="shared" si="1" ref="K134:K139">K6</f>
        <v>22052.84</v>
      </c>
      <c r="L134" s="37"/>
      <c r="M134" s="15"/>
      <c r="N134" s="16"/>
    </row>
    <row r="135" spans="1:14" ht="12.75">
      <c r="A135" s="6"/>
      <c r="B135" s="11"/>
      <c r="C135" s="6"/>
      <c r="D135" s="6"/>
      <c r="E135" s="6"/>
      <c r="F135" s="6"/>
      <c r="G135" s="6"/>
      <c r="H135" s="10" t="str">
        <f t="shared" si="0"/>
        <v>Altri emolumenti utili </v>
      </c>
      <c r="I135" s="10"/>
      <c r="J135" s="10"/>
      <c r="K135" s="52">
        <f t="shared" si="1"/>
        <v>0</v>
      </c>
      <c r="L135" s="37"/>
      <c r="M135" s="15"/>
      <c r="N135" s="14"/>
    </row>
    <row r="136" spans="1:14" ht="12.75">
      <c r="A136" s="6"/>
      <c r="B136" s="11"/>
      <c r="C136" s="6"/>
      <c r="D136" s="6"/>
      <c r="E136" s="6"/>
      <c r="F136" s="6"/>
      <c r="G136" s="6"/>
      <c r="H136" s="10" t="str">
        <f t="shared" si="0"/>
        <v>Indenntà integrativa speciale annua</v>
      </c>
      <c r="I136" s="10"/>
      <c r="J136" s="10"/>
      <c r="K136" s="52">
        <f t="shared" si="1"/>
        <v>6384.12</v>
      </c>
      <c r="L136" s="37"/>
      <c r="M136" s="15"/>
      <c r="N136" s="14"/>
    </row>
    <row r="137" spans="1:14" ht="12.75">
      <c r="A137" s="6"/>
      <c r="B137" s="11"/>
      <c r="C137" s="6"/>
      <c r="D137" s="6"/>
      <c r="E137" s="6"/>
      <c r="F137" s="6"/>
      <c r="G137" s="6"/>
      <c r="H137" s="10" t="str">
        <f t="shared" si="0"/>
        <v>Beneficio legge 336</v>
      </c>
      <c r="I137" s="10"/>
      <c r="J137" s="10"/>
      <c r="K137" s="52">
        <f t="shared" si="1"/>
        <v>0</v>
      </c>
      <c r="L137" s="37"/>
      <c r="M137" s="15"/>
      <c r="N137" s="14"/>
    </row>
    <row r="138" spans="1:14" ht="12.75">
      <c r="A138" s="6"/>
      <c r="B138" s="11"/>
      <c r="C138" s="6"/>
      <c r="D138" s="6"/>
      <c r="E138" s="6"/>
      <c r="F138" s="6"/>
      <c r="G138" s="6"/>
      <c r="H138" s="10" t="str">
        <f t="shared" si="0"/>
        <v>Tredicesima mensilità</v>
      </c>
      <c r="I138" s="10"/>
      <c r="J138" s="10"/>
      <c r="K138" s="52">
        <f t="shared" si="1"/>
        <v>2369.7466666666664</v>
      </c>
      <c r="L138" s="37"/>
      <c r="M138" s="15"/>
      <c r="N138" s="17"/>
    </row>
    <row r="139" spans="1:14" ht="12.75">
      <c r="A139" s="6"/>
      <c r="B139" s="11"/>
      <c r="C139" s="6"/>
      <c r="D139" s="6"/>
      <c r="E139" s="6"/>
      <c r="F139" s="6"/>
      <c r="G139" s="6"/>
      <c r="H139" s="36" t="str">
        <f t="shared" si="0"/>
        <v>Retribuzione utile</v>
      </c>
      <c r="I139" s="10"/>
      <c r="J139" s="10"/>
      <c r="K139" s="54">
        <f t="shared" si="1"/>
        <v>30806.706666666665</v>
      </c>
      <c r="L139" s="14"/>
      <c r="M139" s="15"/>
      <c r="N139" s="14"/>
    </row>
    <row r="140" spans="1:14" ht="12.75">
      <c r="A140" s="6"/>
      <c r="B140" s="11"/>
      <c r="C140" s="6"/>
      <c r="D140" s="6"/>
      <c r="E140" s="6"/>
      <c r="F140" s="6"/>
      <c r="G140" s="6"/>
      <c r="H140" s="36" t="str">
        <f t="shared" si="0"/>
        <v>Anzianità utile anni</v>
      </c>
      <c r="I140" s="10"/>
      <c r="J140" s="36">
        <f>J12</f>
        <v>43</v>
      </c>
      <c r="K140" s="54"/>
      <c r="L140" s="14"/>
      <c r="M140" s="15"/>
      <c r="N140" s="17"/>
    </row>
    <row r="141" spans="1:14" ht="12.75">
      <c r="A141" s="6"/>
      <c r="B141" s="11"/>
      <c r="C141" s="6"/>
      <c r="D141" s="6"/>
      <c r="E141" s="6"/>
      <c r="F141" s="6"/>
      <c r="G141" s="6"/>
      <c r="H141" s="10" t="str">
        <f t="shared" si="0"/>
        <v>Anzianità senza i periodi riscattati</v>
      </c>
      <c r="I141" s="36"/>
      <c r="J141" s="99">
        <f>J13</f>
        <v>39</v>
      </c>
      <c r="K141" s="52"/>
      <c r="L141" s="37"/>
      <c r="M141" s="15"/>
      <c r="N141" s="14"/>
    </row>
    <row r="142" spans="1:14" ht="12.75">
      <c r="A142" s="6"/>
      <c r="B142" s="11"/>
      <c r="C142" s="6"/>
      <c r="D142" s="6"/>
      <c r="E142" s="6"/>
      <c r="F142" s="6"/>
      <c r="G142" s="6"/>
      <c r="H142" s="10" t="str">
        <f t="shared" si="0"/>
        <v>Quota lorda per ogni anno utile</v>
      </c>
      <c r="I142" s="36"/>
      <c r="J142" s="36"/>
      <c r="K142" s="52">
        <f>K14</f>
        <v>2053.7804444444446</v>
      </c>
      <c r="L142" s="37"/>
      <c r="M142" s="15"/>
      <c r="N142" s="14"/>
    </row>
    <row r="143" spans="1:14" ht="12.75">
      <c r="A143" s="6"/>
      <c r="B143" s="11"/>
      <c r="C143" s="6"/>
      <c r="D143" s="6"/>
      <c r="E143" s="6"/>
      <c r="F143" s="6"/>
      <c r="G143" s="6"/>
      <c r="H143" s="99" t="str">
        <f t="shared" si="0"/>
        <v>Interessi legali corrisposti per ritardato pagamento</v>
      </c>
      <c r="I143" s="10"/>
      <c r="J143" s="99"/>
      <c r="K143" s="52">
        <f>K15</f>
        <v>0</v>
      </c>
      <c r="L143" s="37"/>
      <c r="M143" s="15"/>
      <c r="N143" s="14"/>
    </row>
    <row r="144" spans="1:14" ht="12.75">
      <c r="A144" s="6"/>
      <c r="B144" s="11"/>
      <c r="C144" s="6"/>
      <c r="D144" s="6"/>
      <c r="E144" s="6"/>
      <c r="F144" s="6"/>
      <c r="G144" s="6"/>
      <c r="H144" s="10" t="str">
        <f t="shared" si="0"/>
        <v>Parte buonuscita per calcolo 26,04% non tassabile</v>
      </c>
      <c r="I144" s="10"/>
      <c r="J144" s="10"/>
      <c r="K144" s="52">
        <f>K16</f>
        <v>80097.43733333334</v>
      </c>
      <c r="L144" s="37"/>
      <c r="M144" s="15"/>
      <c r="N144" s="14"/>
    </row>
    <row r="145" spans="1:14" ht="12.75">
      <c r="A145" s="6"/>
      <c r="B145" s="11"/>
      <c r="C145" s="6"/>
      <c r="D145" s="6"/>
      <c r="E145" s="6"/>
      <c r="F145" s="6"/>
      <c r="G145" s="6"/>
      <c r="H145" s="36" t="str">
        <f t="shared" si="0"/>
        <v>Buonuscita lorda </v>
      </c>
      <c r="I145" s="99"/>
      <c r="J145" s="99"/>
      <c r="K145" s="54">
        <f>K17</f>
        <v>88312.55911111111</v>
      </c>
      <c r="L145" s="14"/>
      <c r="M145" s="15"/>
      <c r="N145" s="16"/>
    </row>
    <row r="146" spans="1:14" ht="12.75">
      <c r="A146" s="6"/>
      <c r="B146" s="11"/>
      <c r="C146" s="6"/>
      <c r="D146" s="6"/>
      <c r="E146" s="6"/>
      <c r="F146" s="6"/>
      <c r="G146" s="6"/>
      <c r="I146" s="10"/>
      <c r="J146" s="10"/>
      <c r="K146" s="52"/>
      <c r="L146" s="37"/>
      <c r="M146" s="15"/>
      <c r="N146" s="14"/>
    </row>
    <row r="147" spans="1:14" ht="12.75">
      <c r="A147" s="6"/>
      <c r="B147" s="11"/>
      <c r="C147" s="6"/>
      <c r="D147" s="6"/>
      <c r="E147" s="6"/>
      <c r="F147" s="6"/>
      <c r="G147" s="6"/>
      <c r="I147" s="36"/>
      <c r="J147" s="36"/>
      <c r="M147" s="15"/>
      <c r="N147" s="10"/>
    </row>
    <row r="148" spans="1:15" ht="12.75">
      <c r="A148" s="6"/>
      <c r="B148" s="11"/>
      <c r="C148" s="6"/>
      <c r="D148" s="6"/>
      <c r="E148" s="6"/>
      <c r="F148" s="6"/>
      <c r="G148" s="6"/>
      <c r="H148" s="10" t="str">
        <f aca="true" t="shared" si="2" ref="H148:H157">H18</f>
        <v> </v>
      </c>
      <c r="I148" s="10"/>
      <c r="J148" s="10"/>
      <c r="M148" s="15"/>
      <c r="N148" s="17"/>
      <c r="O148" s="7"/>
    </row>
    <row r="149" spans="1:14" ht="12.75">
      <c r="A149" s="6"/>
      <c r="B149" s="11"/>
      <c r="C149" s="6"/>
      <c r="D149" s="6"/>
      <c r="E149" s="6"/>
      <c r="F149" s="6"/>
      <c r="G149" s="6"/>
      <c r="H149" s="10" t="str">
        <f t="shared" si="2"/>
        <v>Parte non tassabile</v>
      </c>
      <c r="I149" s="10"/>
      <c r="J149" s="10"/>
      <c r="K149" s="52">
        <f>K19</f>
        <v>20857.3726816</v>
      </c>
      <c r="L149" s="37"/>
      <c r="M149" s="15"/>
      <c r="N149" s="14"/>
    </row>
    <row r="150" spans="1:14" ht="12.75">
      <c r="A150" s="6"/>
      <c r="B150" s="11"/>
      <c r="C150" s="6"/>
      <c r="D150" s="6"/>
      <c r="E150" s="6"/>
      <c r="F150" s="6"/>
      <c r="G150" s="6"/>
      <c r="H150" s="10" t="str">
        <f t="shared" si="2"/>
        <v>Riduzione imponibile</v>
      </c>
      <c r="I150" s="10"/>
      <c r="J150" s="10"/>
      <c r="K150" s="52">
        <f>K20</f>
        <v>13272.765000000001</v>
      </c>
      <c r="L150" s="37"/>
      <c r="M150" s="15"/>
      <c r="N150" s="10"/>
    </row>
    <row r="151" spans="1:14" ht="12.75">
      <c r="A151" s="6"/>
      <c r="B151" s="11"/>
      <c r="C151" s="6"/>
      <c r="D151" s="6"/>
      <c r="E151" s="6"/>
      <c r="F151" s="6"/>
      <c r="G151" s="6"/>
      <c r="H151" s="36" t="str">
        <f t="shared" si="2"/>
        <v>Imponibile</v>
      </c>
      <c r="I151" s="36"/>
      <c r="J151" s="36"/>
      <c r="K151" s="54">
        <f>K21</f>
        <v>54182.421429511116</v>
      </c>
      <c r="L151" s="14"/>
      <c r="M151" s="15"/>
      <c r="N151" s="17"/>
    </row>
    <row r="152" spans="1:14" ht="12.75">
      <c r="A152" s="6"/>
      <c r="B152" s="11"/>
      <c r="C152" s="6"/>
      <c r="D152" s="6"/>
      <c r="E152" s="6"/>
      <c r="F152" s="6"/>
      <c r="G152" s="6"/>
      <c r="H152" s="10" t="str">
        <f t="shared" si="2"/>
        <v>Reddito di riferimento</v>
      </c>
      <c r="I152" s="10"/>
      <c r="J152" s="10"/>
      <c r="K152" s="52">
        <f>K22</f>
        <v>18899.421834091372</v>
      </c>
      <c r="L152" s="37"/>
      <c r="M152" s="15"/>
      <c r="N152" s="14"/>
    </row>
    <row r="153" spans="1:14" ht="12.75">
      <c r="A153" s="6"/>
      <c r="B153" s="11"/>
      <c r="C153" s="6"/>
      <c r="D153" s="6"/>
      <c r="E153" s="6"/>
      <c r="F153" s="6"/>
      <c r="G153" s="6"/>
      <c r="H153" s="10" t="str">
        <f t="shared" si="2"/>
        <v>Irpef lorda reddito di riferimento</v>
      </c>
      <c r="I153" s="10"/>
      <c r="J153" s="10"/>
      <c r="K153" s="52">
        <f>K23</f>
        <v>4346.867021841016</v>
      </c>
      <c r="L153" s="37"/>
      <c r="M153" s="15"/>
      <c r="N153" s="16"/>
    </row>
    <row r="154" spans="1:14" ht="12.75">
      <c r="A154" s="6"/>
      <c r="B154" s="11"/>
      <c r="C154" s="6"/>
      <c r="D154" s="6"/>
      <c r="E154" s="6"/>
      <c r="F154" s="6"/>
      <c r="G154" s="6"/>
      <c r="H154" s="10" t="str">
        <f t="shared" si="2"/>
        <v>Aliquota Irpef</v>
      </c>
      <c r="I154" s="10"/>
      <c r="J154" s="53">
        <f>J24</f>
        <v>0.23</v>
      </c>
      <c r="K154" s="52"/>
      <c r="L154" s="37"/>
      <c r="M154" s="15"/>
      <c r="N154" s="16"/>
    </row>
    <row r="155" spans="1:14" ht="12.75">
      <c r="A155" s="6"/>
      <c r="B155" s="11"/>
      <c r="C155" s="6"/>
      <c r="D155" s="6"/>
      <c r="E155" s="6"/>
      <c r="F155" s="6"/>
      <c r="G155" s="6"/>
      <c r="H155" s="10" t="str">
        <f t="shared" si="2"/>
        <v>Detrazione legge 244/2007</v>
      </c>
      <c r="I155" s="10"/>
      <c r="J155" s="196">
        <f>J25</f>
        <v>58.878</v>
      </c>
      <c r="K155" s="52"/>
      <c r="L155" s="37"/>
      <c r="M155" s="15"/>
      <c r="N155" s="14"/>
    </row>
    <row r="156" spans="1:14" ht="12.75">
      <c r="A156" s="6"/>
      <c r="B156" s="11"/>
      <c r="C156" s="6"/>
      <c r="D156" s="6"/>
      <c r="E156" s="6"/>
      <c r="F156" s="6"/>
      <c r="G156" s="6"/>
      <c r="H156" s="10" t="str">
        <f t="shared" si="2"/>
        <v>Oneri fiscali</v>
      </c>
      <c r="I156" s="10"/>
      <c r="J156" s="10"/>
      <c r="K156" s="52">
        <f>K26</f>
        <v>12403.078928787556</v>
      </c>
      <c r="L156" s="37"/>
      <c r="M156" s="15"/>
      <c r="N156" s="14"/>
    </row>
    <row r="157" spans="1:14" ht="12.75">
      <c r="A157" s="6"/>
      <c r="B157" s="11"/>
      <c r="C157" s="6"/>
      <c r="D157" s="6"/>
      <c r="E157" s="6"/>
      <c r="F157" s="6"/>
      <c r="G157" s="6"/>
      <c r="H157" s="10" t="str">
        <f t="shared" si="2"/>
        <v>Importo  trattenuto per riscatto periodi</v>
      </c>
      <c r="I157" s="10"/>
      <c r="J157" s="10"/>
      <c r="K157" s="52">
        <f>K27</f>
        <v>0</v>
      </c>
      <c r="L157" s="37"/>
      <c r="M157" s="15"/>
      <c r="N157" s="10"/>
    </row>
    <row r="158" spans="1:14" ht="12.75">
      <c r="A158" s="6"/>
      <c r="B158" s="11"/>
      <c r="C158" s="6"/>
      <c r="D158" s="6"/>
      <c r="E158" s="6"/>
      <c r="F158" s="6"/>
      <c r="G158" s="6"/>
      <c r="H158" s="10"/>
      <c r="I158" s="10"/>
      <c r="J158" s="10"/>
      <c r="K158" s="52"/>
      <c r="L158" s="37"/>
      <c r="M158" s="15"/>
      <c r="N158" s="16"/>
    </row>
    <row r="159" spans="1:14" ht="12.75">
      <c r="A159" s="6"/>
      <c r="B159" s="11"/>
      <c r="C159" s="6"/>
      <c r="D159" s="6"/>
      <c r="E159" s="6"/>
      <c r="F159" s="6"/>
      <c r="G159" s="6"/>
      <c r="H159" s="55" t="str">
        <f>H29</f>
        <v>BUONUSCITA NETTA</v>
      </c>
      <c r="I159" s="55"/>
      <c r="J159" s="55"/>
      <c r="K159" s="56">
        <f>K29</f>
        <v>75909.48018232356</v>
      </c>
      <c r="L159" s="57"/>
      <c r="M159" s="15"/>
      <c r="N159" s="16"/>
    </row>
    <row r="160" spans="1:14" ht="12.75">
      <c r="A160" s="6"/>
      <c r="B160" s="11"/>
      <c r="C160" s="6"/>
      <c r="D160" s="6"/>
      <c r="E160" s="6"/>
      <c r="F160" s="6"/>
      <c r="G160" s="6"/>
      <c r="H160" s="10"/>
      <c r="I160" s="10"/>
      <c r="J160" s="10"/>
      <c r="K160" s="10"/>
      <c r="L160" s="10"/>
      <c r="M160" s="15"/>
      <c r="N160" s="14"/>
    </row>
    <row r="161" spans="1:15" ht="12.75">
      <c r="A161" s="6"/>
      <c r="B161" s="11"/>
      <c r="C161" s="6"/>
      <c r="D161" s="6"/>
      <c r="E161" s="6"/>
      <c r="F161" s="6"/>
      <c r="G161" s="6"/>
      <c r="H161" s="10"/>
      <c r="I161" s="10"/>
      <c r="J161" s="10"/>
      <c r="K161" s="10"/>
      <c r="L161" s="10"/>
      <c r="M161" s="10"/>
      <c r="N161" s="14"/>
      <c r="O161" s="7"/>
    </row>
    <row r="162" spans="1:14" ht="12.75">
      <c r="A162" s="6"/>
      <c r="B162" s="11"/>
      <c r="C162" s="6"/>
      <c r="D162" s="6"/>
      <c r="E162" s="6"/>
      <c r="F162" s="6"/>
      <c r="G162" s="6"/>
      <c r="H162" s="245" t="s">
        <v>307</v>
      </c>
      <c r="I162" s="245"/>
      <c r="J162" s="245"/>
      <c r="K162" s="245"/>
      <c r="L162" s="10"/>
      <c r="M162" s="10"/>
      <c r="N162" s="16"/>
    </row>
    <row r="163" spans="1:14" ht="12.75">
      <c r="A163" s="6"/>
      <c r="B163" s="11"/>
      <c r="C163" s="6"/>
      <c r="D163" s="6"/>
      <c r="E163" s="6"/>
      <c r="F163" s="6"/>
      <c r="G163" s="6"/>
      <c r="H163" s="246" t="s">
        <v>305</v>
      </c>
      <c r="I163" s="246"/>
      <c r="J163" s="246"/>
      <c r="K163" s="246"/>
      <c r="N163" s="16"/>
    </row>
    <row r="164" spans="1:14" ht="12.75">
      <c r="A164" s="6"/>
      <c r="B164" s="11"/>
      <c r="C164" s="6"/>
      <c r="D164" s="6"/>
      <c r="E164" s="6"/>
      <c r="F164" s="6"/>
      <c r="G164" s="6"/>
      <c r="H164" s="246" t="s">
        <v>306</v>
      </c>
      <c r="I164" s="246"/>
      <c r="J164" s="246"/>
      <c r="K164" s="246"/>
      <c r="N164" s="16"/>
    </row>
    <row r="165" spans="1:14" ht="12.75">
      <c r="A165" s="6"/>
      <c r="B165" s="11"/>
      <c r="C165" s="6"/>
      <c r="D165" s="6"/>
      <c r="E165" s="6"/>
      <c r="F165" s="6"/>
      <c r="G165" s="6"/>
      <c r="H165" s="246" t="s">
        <v>325</v>
      </c>
      <c r="I165" s="246"/>
      <c r="J165" s="246"/>
      <c r="K165" s="246"/>
      <c r="L165" s="10"/>
      <c r="M165" s="10"/>
      <c r="N165" s="16"/>
    </row>
    <row r="166" spans="1:14" ht="12.75">
      <c r="A166" s="6"/>
      <c r="B166" s="11"/>
      <c r="C166" s="6"/>
      <c r="D166" s="6"/>
      <c r="E166" s="6"/>
      <c r="F166" s="6"/>
      <c r="G166" s="6"/>
      <c r="L166" s="10"/>
      <c r="M166" s="10"/>
      <c r="N166" s="10"/>
    </row>
    <row r="167" spans="1:14" ht="12.75">
      <c r="A167" s="6"/>
      <c r="B167" s="11"/>
      <c r="C167" s="6"/>
      <c r="D167" s="6"/>
      <c r="E167" s="6"/>
      <c r="F167" s="6"/>
      <c r="G167" s="6"/>
      <c r="H167" s="36" t="s">
        <v>322</v>
      </c>
      <c r="J167" s="242">
        <f>Rate!D93</f>
        <v>50000</v>
      </c>
      <c r="K167" s="242">
        <f>Rate!F93</f>
        <v>44335.64224896254</v>
      </c>
      <c r="L167" s="10"/>
      <c r="M167" s="10"/>
      <c r="N167" s="14"/>
    </row>
    <row r="168" spans="1:14" ht="12.75">
      <c r="A168" s="6"/>
      <c r="B168" s="11"/>
      <c r="C168" s="6"/>
      <c r="D168" s="6"/>
      <c r="E168" s="6"/>
      <c r="F168" s="6"/>
      <c r="G168" s="6"/>
      <c r="H168" s="36" t="s">
        <v>323</v>
      </c>
      <c r="I168" s="10"/>
      <c r="J168" s="242">
        <f>Rate!D95</f>
        <v>38312.55911111111</v>
      </c>
      <c r="K168" s="242">
        <f>Rate!F95</f>
        <v>31573.83793336102</v>
      </c>
      <c r="L168" s="10"/>
      <c r="M168" s="10"/>
      <c r="N168" s="14"/>
    </row>
    <row r="169" spans="1:14" ht="12.75">
      <c r="A169" s="6"/>
      <c r="B169" s="11"/>
      <c r="C169" s="6"/>
      <c r="D169" s="6"/>
      <c r="E169" s="6"/>
      <c r="F169" s="6"/>
      <c r="G169" s="6"/>
      <c r="H169" s="36" t="s">
        <v>324</v>
      </c>
      <c r="I169" s="10"/>
      <c r="J169" s="242">
        <f>Rate!D97</f>
        <v>0</v>
      </c>
      <c r="K169" s="242">
        <f>Rate!F97</f>
        <v>0</v>
      </c>
      <c r="L169" s="10"/>
      <c r="M169" s="10"/>
      <c r="N169" s="18"/>
    </row>
    <row r="170" spans="1:14" ht="12.75">
      <c r="A170" s="6"/>
      <c r="B170" s="11"/>
      <c r="C170" s="6"/>
      <c r="D170" s="6"/>
      <c r="E170" s="6"/>
      <c r="F170" s="6"/>
      <c r="G170" s="6"/>
      <c r="H170" s="10"/>
      <c r="I170" s="10"/>
      <c r="J170" s="10"/>
      <c r="K170" s="10"/>
      <c r="L170" s="10"/>
      <c r="M170" s="10"/>
      <c r="N170" s="14"/>
    </row>
    <row r="171" spans="1:14" ht="12.75">
      <c r="A171" s="6"/>
      <c r="B171" s="11"/>
      <c r="C171" s="6"/>
      <c r="D171" s="6"/>
      <c r="E171" s="6"/>
      <c r="F171" s="6"/>
      <c r="G171" s="6"/>
      <c r="H171" s="19">
        <f ca="1">TODAY()</f>
        <v>42933</v>
      </c>
      <c r="I171" s="10"/>
      <c r="J171" s="10"/>
      <c r="K171" s="10"/>
      <c r="L171" s="10"/>
      <c r="M171" s="10"/>
      <c r="N171" s="14"/>
    </row>
    <row r="172" spans="1:14" ht="12.75">
      <c r="A172" s="6"/>
      <c r="B172" s="11"/>
      <c r="C172" s="6"/>
      <c r="D172" s="6"/>
      <c r="E172" s="6"/>
      <c r="F172" s="6"/>
      <c r="G172" s="6"/>
      <c r="H172" s="10"/>
      <c r="I172" s="10"/>
      <c r="J172" s="10"/>
      <c r="K172" s="10"/>
      <c r="L172" s="10"/>
      <c r="M172" s="10"/>
      <c r="N172" s="14"/>
    </row>
    <row r="173" spans="1:14" ht="12.75">
      <c r="A173" s="6"/>
      <c r="B173" s="11"/>
      <c r="C173" s="6"/>
      <c r="D173" s="6"/>
      <c r="E173" s="6"/>
      <c r="F173" s="6"/>
      <c r="G173" s="6"/>
      <c r="I173" s="10"/>
      <c r="J173" s="10"/>
      <c r="K173" s="10"/>
      <c r="L173" s="10"/>
      <c r="M173" s="10"/>
      <c r="N173" s="14"/>
    </row>
    <row r="174" spans="1:14" ht="12.75">
      <c r="A174" s="6"/>
      <c r="B174" s="11"/>
      <c r="C174" s="6"/>
      <c r="D174" s="6"/>
      <c r="E174" s="6"/>
      <c r="F174" s="6"/>
      <c r="G174" s="6"/>
      <c r="I174" s="10"/>
      <c r="J174" s="10"/>
      <c r="K174" s="10"/>
      <c r="L174" s="10"/>
      <c r="M174" s="10"/>
      <c r="N174" s="14"/>
    </row>
    <row r="175" spans="1:14" ht="12.75">
      <c r="A175" s="6"/>
      <c r="B175" s="11"/>
      <c r="C175" s="6"/>
      <c r="D175" s="6"/>
      <c r="E175" s="6"/>
      <c r="F175" s="6"/>
      <c r="G175" s="6"/>
      <c r="H175" s="10"/>
      <c r="I175" s="10"/>
      <c r="J175" s="10"/>
      <c r="K175" s="10"/>
      <c r="L175" s="10"/>
      <c r="M175" s="10"/>
      <c r="N175" s="14"/>
    </row>
    <row r="176" spans="1:14" ht="12.75">
      <c r="A176" s="6"/>
      <c r="B176" s="11"/>
      <c r="C176" s="6"/>
      <c r="D176" s="6"/>
      <c r="E176" s="6"/>
      <c r="F176" s="6"/>
      <c r="G176" s="6"/>
      <c r="H176" s="10"/>
      <c r="I176" s="10"/>
      <c r="J176" s="10"/>
      <c r="K176" s="10"/>
      <c r="L176" s="10"/>
      <c r="M176" s="10"/>
      <c r="N176" s="14"/>
    </row>
    <row r="177" spans="1:14" ht="12.75">
      <c r="A177" s="6"/>
      <c r="B177" s="11"/>
      <c r="C177" s="6"/>
      <c r="D177" s="6"/>
      <c r="E177" s="6"/>
      <c r="F177" s="6"/>
      <c r="G177" s="6"/>
      <c r="H177" s="10"/>
      <c r="I177" s="10"/>
      <c r="J177" s="10"/>
      <c r="K177" s="10"/>
      <c r="L177" s="10"/>
      <c r="M177" s="10"/>
      <c r="N177" s="14"/>
    </row>
    <row r="178" spans="1:15" ht="12.75">
      <c r="A178" s="6"/>
      <c r="B178" s="11"/>
      <c r="C178" s="6"/>
      <c r="D178" s="6"/>
      <c r="E178" s="6"/>
      <c r="F178" s="6"/>
      <c r="G178" s="6"/>
      <c r="H178" s="10"/>
      <c r="I178" s="10"/>
      <c r="J178" s="10"/>
      <c r="K178" s="10"/>
      <c r="L178" s="10"/>
      <c r="M178" s="10"/>
      <c r="N178" s="14"/>
      <c r="O178" s="7"/>
    </row>
    <row r="179" spans="1:14" ht="12.75">
      <c r="A179" s="6"/>
      <c r="B179" s="11"/>
      <c r="C179" s="6"/>
      <c r="D179" s="6"/>
      <c r="E179" s="6"/>
      <c r="F179" s="6"/>
      <c r="G179" s="6"/>
      <c r="H179" s="10"/>
      <c r="I179" s="10"/>
      <c r="J179" s="10"/>
      <c r="K179" s="10"/>
      <c r="L179" s="10"/>
      <c r="M179" s="10"/>
      <c r="N179" s="10"/>
    </row>
    <row r="180" spans="1:14" ht="12.75">
      <c r="A180" s="6"/>
      <c r="B180" s="11"/>
      <c r="C180" s="6"/>
      <c r="D180" s="6"/>
      <c r="E180" s="6"/>
      <c r="F180" s="6"/>
      <c r="G180" s="6"/>
      <c r="H180" s="10"/>
      <c r="I180" s="10"/>
      <c r="J180" s="10"/>
      <c r="K180" s="10"/>
      <c r="L180" s="10"/>
      <c r="M180" s="10"/>
      <c r="N180" s="10"/>
    </row>
    <row r="181" spans="1:14" ht="12.75">
      <c r="A181" s="6"/>
      <c r="B181" s="11"/>
      <c r="C181" s="6"/>
      <c r="D181" s="6"/>
      <c r="E181" s="6"/>
      <c r="F181" s="6"/>
      <c r="G181" s="6"/>
      <c r="H181" s="10"/>
      <c r="I181" s="10"/>
      <c r="J181" s="10"/>
      <c r="K181" s="10"/>
      <c r="L181" s="10"/>
      <c r="M181" s="10"/>
      <c r="N181" s="10"/>
    </row>
    <row r="182" spans="1:14" ht="12.75">
      <c r="A182" s="6"/>
      <c r="B182" s="11"/>
      <c r="C182" s="6"/>
      <c r="D182" s="6"/>
      <c r="E182" s="6"/>
      <c r="F182" s="6"/>
      <c r="G182" s="6"/>
      <c r="H182" s="10"/>
      <c r="I182" s="10"/>
      <c r="J182" s="10"/>
      <c r="K182" s="10"/>
      <c r="L182" s="10"/>
      <c r="M182" s="10"/>
      <c r="N182" s="10"/>
    </row>
    <row r="183" spans="1:14" ht="12.75">
      <c r="A183" s="6"/>
      <c r="B183" s="11"/>
      <c r="C183" s="6"/>
      <c r="D183" s="6"/>
      <c r="E183" s="6"/>
      <c r="F183" s="6"/>
      <c r="G183" s="6"/>
      <c r="H183" s="10"/>
      <c r="I183" s="10"/>
      <c r="J183" s="10"/>
      <c r="K183" s="10"/>
      <c r="L183" s="10"/>
      <c r="M183" s="10"/>
      <c r="N183" s="10"/>
    </row>
    <row r="184" spans="1:14" ht="12.75">
      <c r="A184" s="6"/>
      <c r="B184" s="11"/>
      <c r="C184" s="6"/>
      <c r="D184" s="6"/>
      <c r="E184" s="6"/>
      <c r="F184" s="6"/>
      <c r="G184" s="6"/>
      <c r="H184" s="10"/>
      <c r="I184" s="10"/>
      <c r="J184" s="10"/>
      <c r="K184" s="10"/>
      <c r="L184" s="10"/>
      <c r="M184" s="10"/>
      <c r="N184" s="10"/>
    </row>
    <row r="185" spans="1:13" ht="12.75">
      <c r="A185" s="6"/>
      <c r="B185" s="11"/>
      <c r="C185" s="6"/>
      <c r="D185" s="6"/>
      <c r="E185" s="6"/>
      <c r="F185" s="6"/>
      <c r="G185" s="6"/>
      <c r="H185" s="10"/>
      <c r="I185" s="10"/>
      <c r="J185" s="10"/>
      <c r="K185" s="10"/>
      <c r="L185" s="10"/>
      <c r="M185" s="10"/>
    </row>
    <row r="186" spans="1:13" ht="12.75">
      <c r="A186" s="6"/>
      <c r="B186" s="11"/>
      <c r="C186" s="6"/>
      <c r="D186" s="6"/>
      <c r="E186" s="6"/>
      <c r="F186" s="6"/>
      <c r="G186" s="6"/>
      <c r="H186" s="10"/>
      <c r="I186" s="10"/>
      <c r="J186" s="10"/>
      <c r="K186" s="10"/>
      <c r="L186" s="10"/>
      <c r="M186" s="10"/>
    </row>
    <row r="187" spans="1:13" ht="12.75">
      <c r="A187" s="6"/>
      <c r="B187" s="11"/>
      <c r="C187" s="6"/>
      <c r="D187" s="6"/>
      <c r="E187" s="6"/>
      <c r="F187" s="6"/>
      <c r="G187" s="6"/>
      <c r="H187" s="10"/>
      <c r="I187" s="10"/>
      <c r="J187" s="10"/>
      <c r="K187" s="10"/>
      <c r="L187" s="10"/>
      <c r="M187" s="10"/>
    </row>
    <row r="188" spans="1:13" ht="12.75">
      <c r="A188" s="6"/>
      <c r="B188" s="11"/>
      <c r="C188" s="6"/>
      <c r="D188" s="6"/>
      <c r="E188" s="6"/>
      <c r="F188" s="6"/>
      <c r="G188" s="6"/>
      <c r="H188" s="10"/>
      <c r="I188" s="10"/>
      <c r="J188" s="10"/>
      <c r="K188" s="10"/>
      <c r="L188" s="10"/>
      <c r="M188" s="10"/>
    </row>
    <row r="189" spans="1:13" ht="12.75">
      <c r="A189" s="1"/>
      <c r="B189" s="5"/>
      <c r="C189" s="1"/>
      <c r="D189" s="1"/>
      <c r="E189" s="1"/>
      <c r="F189" s="1"/>
      <c r="G189" s="1"/>
      <c r="H189" s="10"/>
      <c r="I189" s="10"/>
      <c r="J189" s="10"/>
      <c r="K189" s="10"/>
      <c r="L189" s="10"/>
      <c r="M189" s="10"/>
    </row>
    <row r="190" spans="1:13" ht="12.75">
      <c r="A190" s="1"/>
      <c r="B190" s="5"/>
      <c r="C190" s="1"/>
      <c r="D190" s="1"/>
      <c r="E190" s="1"/>
      <c r="F190" s="1"/>
      <c r="G190" s="1"/>
      <c r="H190" s="10"/>
      <c r="I190" s="10"/>
      <c r="J190" s="10"/>
      <c r="K190" s="10"/>
      <c r="L190" s="10"/>
      <c r="M190" s="10"/>
    </row>
    <row r="191" spans="1:13" ht="12.75">
      <c r="A191" s="1"/>
      <c r="B191" s="5"/>
      <c r="C191" s="1"/>
      <c r="D191" s="1"/>
      <c r="E191" s="1"/>
      <c r="F191" s="1"/>
      <c r="G191" s="1"/>
      <c r="H191" s="10"/>
      <c r="I191" s="10"/>
      <c r="J191" s="10"/>
      <c r="K191" s="10"/>
      <c r="L191" s="10"/>
      <c r="M191" s="10"/>
    </row>
    <row r="192" spans="1:13" ht="12.75">
      <c r="A192" s="1"/>
      <c r="B192" s="5"/>
      <c r="C192" s="1"/>
      <c r="D192" s="1"/>
      <c r="E192" s="1"/>
      <c r="F192" s="1"/>
      <c r="G192" s="1"/>
      <c r="H192" s="10"/>
      <c r="I192" s="10"/>
      <c r="J192" s="10"/>
      <c r="K192" s="10"/>
      <c r="L192" s="10"/>
      <c r="M192" s="10"/>
    </row>
    <row r="193" spans="1:13" ht="12.75">
      <c r="A193" s="1"/>
      <c r="B193" s="5"/>
      <c r="C193" s="1"/>
      <c r="D193" s="1"/>
      <c r="E193" s="1"/>
      <c r="F193" s="1"/>
      <c r="G193" s="1"/>
      <c r="H193" s="10"/>
      <c r="I193" s="10"/>
      <c r="J193" s="10"/>
      <c r="K193" s="10"/>
      <c r="L193" s="10"/>
      <c r="M193" s="10"/>
    </row>
    <row r="194" spans="1:13" ht="12.75">
      <c r="A194" s="1"/>
      <c r="B194" s="5"/>
      <c r="C194" s="1"/>
      <c r="D194" s="1"/>
      <c r="E194" s="1"/>
      <c r="F194" s="1"/>
      <c r="G194" s="1"/>
      <c r="H194" s="10"/>
      <c r="I194" s="10"/>
      <c r="J194" s="10"/>
      <c r="K194" s="10"/>
      <c r="L194" s="10"/>
      <c r="M194" s="10"/>
    </row>
    <row r="195" spans="1:13" ht="12.75">
      <c r="A195" s="1"/>
      <c r="B195" s="5"/>
      <c r="C195" s="1"/>
      <c r="D195" s="1"/>
      <c r="E195" s="1"/>
      <c r="F195" s="1"/>
      <c r="G195" s="1"/>
      <c r="H195" s="10"/>
      <c r="I195" s="10"/>
      <c r="J195" s="10"/>
      <c r="K195" s="10"/>
      <c r="L195" s="10"/>
      <c r="M195" s="10"/>
    </row>
    <row r="196" spans="1:13" ht="12.75">
      <c r="A196" s="1"/>
      <c r="B196" s="5"/>
      <c r="C196" s="1"/>
      <c r="D196" s="1"/>
      <c r="E196" s="1"/>
      <c r="F196" s="1"/>
      <c r="G196" s="1"/>
      <c r="H196" s="10"/>
      <c r="I196" s="10"/>
      <c r="J196" s="10"/>
      <c r="K196" s="10"/>
      <c r="L196" s="10"/>
      <c r="M196" s="10"/>
    </row>
    <row r="197" spans="1:13" ht="12.75">
      <c r="A197" s="1"/>
      <c r="B197" s="5"/>
      <c r="C197" s="1"/>
      <c r="D197" s="1"/>
      <c r="E197" s="1"/>
      <c r="F197" s="1"/>
      <c r="G197" s="1"/>
      <c r="H197" s="10"/>
      <c r="I197" s="10"/>
      <c r="J197" s="10"/>
      <c r="K197" s="10"/>
      <c r="L197" s="10"/>
      <c r="M197" s="10"/>
    </row>
    <row r="198" spans="1:13" ht="12.75">
      <c r="A198" s="1"/>
      <c r="B198" s="5"/>
      <c r="C198" s="1"/>
      <c r="D198" s="1"/>
      <c r="E198" s="1"/>
      <c r="F198" s="1"/>
      <c r="G198" s="1"/>
      <c r="H198" s="10"/>
      <c r="I198" s="10"/>
      <c r="J198" s="10"/>
      <c r="K198" s="10"/>
      <c r="L198" s="10"/>
      <c r="M198" s="10"/>
    </row>
    <row r="199" spans="1:13" ht="12.75">
      <c r="A199" s="1"/>
      <c r="B199" s="5"/>
      <c r="C199" s="1"/>
      <c r="D199" s="1"/>
      <c r="E199" s="1"/>
      <c r="F199" s="1"/>
      <c r="G199" s="1"/>
      <c r="H199" s="10"/>
      <c r="I199" s="10"/>
      <c r="J199" s="10"/>
      <c r="K199" s="10"/>
      <c r="L199" s="10"/>
      <c r="M199" s="10"/>
    </row>
    <row r="200" spans="1:10" ht="12.75">
      <c r="A200" s="1"/>
      <c r="B200" s="5"/>
      <c r="C200" s="1"/>
      <c r="D200" s="1"/>
      <c r="E200" s="1"/>
      <c r="F200" s="1"/>
      <c r="G200" s="1"/>
      <c r="H200" s="10"/>
      <c r="I200" s="10"/>
      <c r="J200" s="10"/>
    </row>
    <row r="201" spans="1:10" ht="12.75">
      <c r="A201" s="1"/>
      <c r="B201" s="5"/>
      <c r="C201" s="1"/>
      <c r="D201" s="1"/>
      <c r="E201" s="1"/>
      <c r="F201" s="1"/>
      <c r="G201" s="1"/>
      <c r="H201" s="10"/>
      <c r="I201" s="10"/>
      <c r="J201" s="10"/>
    </row>
    <row r="202" spans="1:7" ht="12.75">
      <c r="A202" s="1"/>
      <c r="B202" s="5"/>
      <c r="C202" s="1"/>
      <c r="D202" s="1"/>
      <c r="E202" s="1"/>
      <c r="F202" s="1"/>
      <c r="G202" s="1"/>
    </row>
    <row r="203" spans="1:7" ht="12.75">
      <c r="A203" s="1"/>
      <c r="B203" s="5"/>
      <c r="C203" s="1"/>
      <c r="D203" s="1"/>
      <c r="E203" s="1"/>
      <c r="F203" s="1"/>
      <c r="G203" s="1"/>
    </row>
    <row r="204" spans="1:7" ht="12.75">
      <c r="A204" s="1"/>
      <c r="B204" s="5"/>
      <c r="C204" s="1"/>
      <c r="D204" s="1"/>
      <c r="E204" s="1"/>
      <c r="F204" s="1"/>
      <c r="G204" s="1"/>
    </row>
    <row r="205" spans="1:7" ht="12.75">
      <c r="A205" s="1"/>
      <c r="B205" s="5"/>
      <c r="C205" s="1"/>
      <c r="D205" s="1"/>
      <c r="E205" s="1"/>
      <c r="F205" s="1"/>
      <c r="G205" s="1"/>
    </row>
    <row r="206" spans="1:7" ht="12.75">
      <c r="A206" s="1"/>
      <c r="B206" s="5"/>
      <c r="C206" s="1"/>
      <c r="D206" s="1"/>
      <c r="E206" s="1"/>
      <c r="F206" s="1"/>
      <c r="G206" s="1"/>
    </row>
    <row r="207" spans="1:7" ht="12.75">
      <c r="A207" s="1"/>
      <c r="B207" s="5"/>
      <c r="C207" s="1"/>
      <c r="D207" s="1"/>
      <c r="E207" s="1"/>
      <c r="F207" s="1"/>
      <c r="G207" s="1"/>
    </row>
    <row r="208" spans="1:7" ht="12.75">
      <c r="A208" s="1"/>
      <c r="B208" s="5"/>
      <c r="C208" s="1"/>
      <c r="D208" s="1"/>
      <c r="E208" s="1"/>
      <c r="F208" s="1"/>
      <c r="G208" s="1"/>
    </row>
    <row r="209" spans="1:7" ht="12.75">
      <c r="A209" s="1"/>
      <c r="B209" s="5"/>
      <c r="C209" s="1"/>
      <c r="D209" s="1"/>
      <c r="E209" s="1"/>
      <c r="F209" s="1"/>
      <c r="G209" s="1"/>
    </row>
    <row r="210" spans="1:7" ht="12.75">
      <c r="A210" s="1"/>
      <c r="B210" s="5"/>
      <c r="C210" s="1"/>
      <c r="D210" s="1"/>
      <c r="E210" s="1"/>
      <c r="F210" s="1"/>
      <c r="G210" s="1"/>
    </row>
    <row r="211" spans="1:7" ht="12.75">
      <c r="A211" s="1"/>
      <c r="B211" s="5"/>
      <c r="C211" s="1"/>
      <c r="D211" s="1"/>
      <c r="E211" s="1"/>
      <c r="F211" s="1"/>
      <c r="G211" s="1"/>
    </row>
    <row r="212" spans="1:7" ht="12.75">
      <c r="A212" s="1"/>
      <c r="B212" s="5"/>
      <c r="C212" s="1"/>
      <c r="D212" s="1"/>
      <c r="E212" s="1"/>
      <c r="F212" s="1"/>
      <c r="G212" s="1"/>
    </row>
    <row r="213" spans="1:7" ht="12.75">
      <c r="A213" s="1"/>
      <c r="B213" s="5"/>
      <c r="C213" s="1"/>
      <c r="D213" s="1"/>
      <c r="E213" s="1"/>
      <c r="F213" s="1"/>
      <c r="G213" s="1"/>
    </row>
    <row r="214" spans="1:7" ht="12.75">
      <c r="A214" s="1"/>
      <c r="B214" s="5"/>
      <c r="C214" s="1"/>
      <c r="D214" s="1"/>
      <c r="E214" s="1"/>
      <c r="F214" s="1"/>
      <c r="G214" s="1"/>
    </row>
    <row r="215" spans="1:7" ht="12.75">
      <c r="A215" s="1"/>
      <c r="B215" s="5"/>
      <c r="C215" s="1"/>
      <c r="D215" s="1"/>
      <c r="E215" s="1"/>
      <c r="F215" s="1"/>
      <c r="G215" s="1"/>
    </row>
    <row r="216" spans="1:7" ht="12.75">
      <c r="A216" s="1"/>
      <c r="B216" s="5"/>
      <c r="C216" s="1"/>
      <c r="D216" s="1"/>
      <c r="E216" s="1"/>
      <c r="F216" s="1"/>
      <c r="G216" s="1"/>
    </row>
    <row r="217" spans="1:7" ht="12.75">
      <c r="A217" s="1"/>
      <c r="B217" s="5"/>
      <c r="C217" s="1"/>
      <c r="D217" s="1"/>
      <c r="E217" s="1"/>
      <c r="F217" s="1"/>
      <c r="G217" s="1"/>
    </row>
    <row r="218" spans="1:7" ht="12.75">
      <c r="A218" s="1"/>
      <c r="B218" s="5"/>
      <c r="C218" s="1"/>
      <c r="D218" s="1"/>
      <c r="E218" s="1"/>
      <c r="F218" s="1"/>
      <c r="G218" s="1"/>
    </row>
    <row r="219" spans="1:7" ht="12.75">
      <c r="A219" s="1"/>
      <c r="B219" s="5"/>
      <c r="C219" s="1"/>
      <c r="D219" s="1"/>
      <c r="E219" s="1"/>
      <c r="F219" s="1"/>
      <c r="G219" s="1"/>
    </row>
    <row r="220" spans="1:7" ht="12.75">
      <c r="A220" s="1"/>
      <c r="B220" s="5"/>
      <c r="C220" s="1"/>
      <c r="D220" s="1"/>
      <c r="E220" s="1"/>
      <c r="F220" s="1"/>
      <c r="G220" s="1"/>
    </row>
    <row r="221" spans="1:7" ht="12.75">
      <c r="A221" s="1"/>
      <c r="B221" s="5"/>
      <c r="C221" s="1"/>
      <c r="D221" s="1"/>
      <c r="E221" s="1"/>
      <c r="F221" s="1"/>
      <c r="G221" s="1"/>
    </row>
    <row r="222" spans="1:7" ht="12.75">
      <c r="A222" s="1"/>
      <c r="B222" s="5"/>
      <c r="C222" s="1"/>
      <c r="D222" s="1"/>
      <c r="E222" s="1"/>
      <c r="F222" s="1"/>
      <c r="G222" s="1"/>
    </row>
    <row r="223" spans="1:7" ht="12.75">
      <c r="A223" s="1"/>
      <c r="B223" s="5"/>
      <c r="C223" s="1"/>
      <c r="D223" s="1"/>
      <c r="E223" s="1"/>
      <c r="F223" s="1"/>
      <c r="G223" s="1"/>
    </row>
    <row r="224" spans="1:7" ht="12.75">
      <c r="A224" s="1"/>
      <c r="B224" s="5"/>
      <c r="C224" s="1"/>
      <c r="D224" s="1"/>
      <c r="E224" s="1"/>
      <c r="F224" s="1"/>
      <c r="G224" s="1"/>
    </row>
    <row r="225" spans="1:7" ht="12.75">
      <c r="A225" s="1"/>
      <c r="B225" s="5"/>
      <c r="C225" s="1"/>
      <c r="D225" s="1"/>
      <c r="E225" s="1"/>
      <c r="F225" s="1"/>
      <c r="G225" s="1"/>
    </row>
    <row r="226" spans="1:7" ht="12.75">
      <c r="A226" s="1"/>
      <c r="B226" s="5"/>
      <c r="C226" s="1"/>
      <c r="D226" s="1"/>
      <c r="E226" s="1"/>
      <c r="F226" s="1"/>
      <c r="G226" s="1"/>
    </row>
    <row r="227" spans="1:7" ht="12.75">
      <c r="A227" s="1"/>
      <c r="B227" s="5"/>
      <c r="C227" s="1"/>
      <c r="D227" s="1"/>
      <c r="E227" s="1"/>
      <c r="F227" s="1"/>
      <c r="G227" s="1"/>
    </row>
    <row r="228" spans="1:7" ht="12.75">
      <c r="A228" s="1"/>
      <c r="B228" s="5"/>
      <c r="C228" s="1"/>
      <c r="D228" s="1"/>
      <c r="E228" s="1"/>
      <c r="F228" s="1"/>
      <c r="G228" s="1"/>
    </row>
    <row r="229" spans="1:7" ht="12.75">
      <c r="A229" s="1"/>
      <c r="B229" s="5"/>
      <c r="C229" s="1"/>
      <c r="D229" s="1"/>
      <c r="E229" s="1"/>
      <c r="F229" s="1"/>
      <c r="G229" s="1"/>
    </row>
    <row r="230" spans="1:7" ht="12.75">
      <c r="A230" s="1"/>
      <c r="B230" s="5"/>
      <c r="C230" s="1"/>
      <c r="D230" s="1"/>
      <c r="E230" s="1"/>
      <c r="F230" s="1"/>
      <c r="G230" s="1"/>
    </row>
    <row r="231" spans="1:7" ht="12.75">
      <c r="A231" s="1"/>
      <c r="B231" s="5"/>
      <c r="C231" s="1"/>
      <c r="D231" s="1"/>
      <c r="E231" s="1"/>
      <c r="F231" s="1"/>
      <c r="G231" s="1"/>
    </row>
    <row r="232" spans="1:7" ht="12.75">
      <c r="A232" s="1"/>
      <c r="B232" s="5"/>
      <c r="C232" s="1"/>
      <c r="D232" s="1"/>
      <c r="E232" s="1"/>
      <c r="F232" s="1"/>
      <c r="G232" s="1"/>
    </row>
    <row r="233" spans="1:7" ht="12.75">
      <c r="A233" s="1"/>
      <c r="B233" s="5"/>
      <c r="C233" s="1"/>
      <c r="D233" s="1"/>
      <c r="E233" s="1"/>
      <c r="F233" s="1"/>
      <c r="G233" s="1"/>
    </row>
    <row r="234" spans="1:7" ht="12.75">
      <c r="A234" s="1"/>
      <c r="B234" s="5"/>
      <c r="C234" s="1"/>
      <c r="D234" s="1"/>
      <c r="E234" s="1"/>
      <c r="F234" s="1"/>
      <c r="G234" s="1"/>
    </row>
    <row r="235" spans="1:7" ht="12.75">
      <c r="A235" s="1"/>
      <c r="B235" s="5"/>
      <c r="C235" s="1"/>
      <c r="D235" s="1"/>
      <c r="E235" s="1"/>
      <c r="F235" s="1"/>
      <c r="G235" s="1"/>
    </row>
    <row r="236" spans="1:7" ht="12.75">
      <c r="A236" s="1"/>
      <c r="B236" s="5"/>
      <c r="C236" s="1"/>
      <c r="D236" s="1"/>
      <c r="E236" s="1"/>
      <c r="F236" s="1"/>
      <c r="G236" s="1"/>
    </row>
    <row r="237" spans="1:7" ht="12.75">
      <c r="A237" s="1"/>
      <c r="B237" s="5"/>
      <c r="C237" s="1"/>
      <c r="D237" s="1"/>
      <c r="E237" s="1"/>
      <c r="F237" s="1"/>
      <c r="G237" s="1"/>
    </row>
    <row r="238" spans="1:7" ht="12.75">
      <c r="A238" s="1"/>
      <c r="B238" s="5"/>
      <c r="C238" s="1"/>
      <c r="D238" s="1"/>
      <c r="E238" s="1"/>
      <c r="F238" s="1"/>
      <c r="G238" s="1"/>
    </row>
    <row r="239" spans="1:7" ht="12.75">
      <c r="A239" s="1"/>
      <c r="B239" s="5"/>
      <c r="C239" s="1"/>
      <c r="D239" s="1"/>
      <c r="E239" s="1"/>
      <c r="F239" s="1"/>
      <c r="G239" s="1"/>
    </row>
    <row r="240" spans="1:7" ht="12.75">
      <c r="A240" s="1"/>
      <c r="B240" s="5"/>
      <c r="C240" s="1"/>
      <c r="D240" s="1"/>
      <c r="E240" s="1"/>
      <c r="F240" s="1"/>
      <c r="G240" s="1"/>
    </row>
    <row r="241" spans="1:7" ht="12.75">
      <c r="A241" s="1"/>
      <c r="B241" s="5"/>
      <c r="C241" s="1"/>
      <c r="D241" s="1"/>
      <c r="E241" s="1"/>
      <c r="F241" s="1"/>
      <c r="G241" s="1"/>
    </row>
    <row r="242" spans="1:7" ht="12.75">
      <c r="A242" s="1"/>
      <c r="B242" s="5"/>
      <c r="C242" s="1"/>
      <c r="D242" s="1"/>
      <c r="E242" s="1"/>
      <c r="F242" s="1"/>
      <c r="G242" s="1"/>
    </row>
    <row r="243" spans="1:7" ht="12.75">
      <c r="A243" s="1"/>
      <c r="B243" s="5"/>
      <c r="C243" s="1"/>
      <c r="D243" s="1"/>
      <c r="E243" s="1"/>
      <c r="F243" s="1"/>
      <c r="G243" s="1"/>
    </row>
    <row r="244" spans="1:7" ht="12.75">
      <c r="A244" s="1"/>
      <c r="B244" s="5"/>
      <c r="C244" s="1"/>
      <c r="D244" s="1"/>
      <c r="E244" s="1"/>
      <c r="F244" s="1"/>
      <c r="G244" s="1"/>
    </row>
    <row r="245" spans="1:7" ht="12.75">
      <c r="A245" s="1"/>
      <c r="B245" s="5"/>
      <c r="C245" s="1"/>
      <c r="D245" s="1"/>
      <c r="E245" s="1"/>
      <c r="F245" s="1"/>
      <c r="G245" s="1"/>
    </row>
    <row r="246" spans="1:7" ht="12.75">
      <c r="A246" s="1"/>
      <c r="B246" s="5"/>
      <c r="C246" s="1"/>
      <c r="D246" s="1"/>
      <c r="E246" s="1"/>
      <c r="F246" s="1"/>
      <c r="G246" s="1"/>
    </row>
    <row r="247" spans="1:7" ht="12.75">
      <c r="A247" s="1"/>
      <c r="B247" s="5"/>
      <c r="C247" s="1"/>
      <c r="D247" s="1"/>
      <c r="E247" s="1"/>
      <c r="F247" s="1"/>
      <c r="G247" s="1"/>
    </row>
    <row r="248" spans="1:7" ht="12.75">
      <c r="A248" s="1"/>
      <c r="B248" s="5"/>
      <c r="C248" s="1"/>
      <c r="D248" s="1"/>
      <c r="E248" s="1"/>
      <c r="F248" s="1"/>
      <c r="G248" s="1"/>
    </row>
    <row r="249" spans="1:7" ht="12.75">
      <c r="A249" s="1"/>
      <c r="B249" s="5"/>
      <c r="C249" s="1"/>
      <c r="D249" s="1"/>
      <c r="E249" s="1"/>
      <c r="F249" s="1"/>
      <c r="G249" s="1"/>
    </row>
    <row r="250" spans="1:7" ht="12.75">
      <c r="A250" s="1"/>
      <c r="B250" s="5"/>
      <c r="C250" s="1"/>
      <c r="D250" s="1"/>
      <c r="E250" s="1"/>
      <c r="F250" s="1"/>
      <c r="G250" s="1"/>
    </row>
    <row r="251" spans="1:7" ht="12.75">
      <c r="A251" s="1"/>
      <c r="B251" s="5"/>
      <c r="C251" s="1"/>
      <c r="D251" s="1"/>
      <c r="E251" s="1"/>
      <c r="F251" s="1"/>
      <c r="G251" s="1"/>
    </row>
    <row r="252" spans="1:7" ht="12.75">
      <c r="A252" s="1"/>
      <c r="B252" s="5"/>
      <c r="C252" s="1"/>
      <c r="D252" s="1"/>
      <c r="E252" s="1"/>
      <c r="F252" s="1"/>
      <c r="G252" s="1"/>
    </row>
    <row r="253" spans="1:7" ht="12.75">
      <c r="A253" s="1"/>
      <c r="B253" s="5"/>
      <c r="C253" s="1"/>
      <c r="D253" s="1"/>
      <c r="E253" s="1"/>
      <c r="F253" s="1"/>
      <c r="G253" s="1"/>
    </row>
    <row r="254" spans="1:7" ht="12.75">
      <c r="A254" s="1"/>
      <c r="B254" s="5"/>
      <c r="C254" s="1"/>
      <c r="D254" s="1"/>
      <c r="E254" s="1"/>
      <c r="F254" s="1"/>
      <c r="G254" s="1"/>
    </row>
    <row r="255" spans="1:7" ht="12.75">
      <c r="A255" s="1"/>
      <c r="B255" s="5"/>
      <c r="C255" s="1"/>
      <c r="D255" s="1"/>
      <c r="E255" s="1"/>
      <c r="F255" s="1"/>
      <c r="G255" s="1"/>
    </row>
    <row r="256" spans="1:7" ht="12.75">
      <c r="A256" s="1"/>
      <c r="B256" s="5"/>
      <c r="C256" s="1"/>
      <c r="D256" s="1"/>
      <c r="E256" s="1"/>
      <c r="F256" s="1"/>
      <c r="G256" s="1"/>
    </row>
    <row r="257" spans="1:7" ht="12.75">
      <c r="A257" s="1"/>
      <c r="B257" s="5"/>
      <c r="C257" s="1"/>
      <c r="D257" s="1"/>
      <c r="E257" s="1"/>
      <c r="F257" s="1"/>
      <c r="G257" s="1"/>
    </row>
    <row r="258" spans="1:7" ht="12.75">
      <c r="A258" s="1"/>
      <c r="B258" s="5"/>
      <c r="C258" s="1"/>
      <c r="D258" s="1"/>
      <c r="E258" s="1"/>
      <c r="F258" s="1"/>
      <c r="G258" s="1"/>
    </row>
    <row r="259" spans="1:7" ht="12.75">
      <c r="A259" s="1"/>
      <c r="B259" s="5"/>
      <c r="C259" s="1"/>
      <c r="D259" s="1"/>
      <c r="E259" s="1"/>
      <c r="F259" s="1"/>
      <c r="G259" s="1"/>
    </row>
    <row r="260" spans="1:7" ht="12.75">
      <c r="A260" s="1"/>
      <c r="B260" s="5"/>
      <c r="C260" s="1"/>
      <c r="D260" s="1"/>
      <c r="E260" s="1"/>
      <c r="F260" s="1"/>
      <c r="G260" s="1"/>
    </row>
    <row r="261" spans="1:7" ht="12.75">
      <c r="A261" s="1"/>
      <c r="B261" s="5"/>
      <c r="C261" s="1"/>
      <c r="D261" s="1"/>
      <c r="E261" s="1"/>
      <c r="F261" s="1"/>
      <c r="G261" s="1"/>
    </row>
    <row r="262" spans="1:7" ht="12.75">
      <c r="A262" s="1"/>
      <c r="B262" s="5"/>
      <c r="C262" s="1"/>
      <c r="D262" s="1"/>
      <c r="E262" s="1"/>
      <c r="F262" s="1"/>
      <c r="G262" s="1"/>
    </row>
    <row r="263" spans="1:7" ht="12.75">
      <c r="A263" s="1"/>
      <c r="B263" s="5"/>
      <c r="C263" s="1"/>
      <c r="D263" s="1"/>
      <c r="E263" s="1"/>
      <c r="F263" s="1"/>
      <c r="G263" s="1"/>
    </row>
    <row r="264" spans="1:7" ht="12.75">
      <c r="A264" s="1"/>
      <c r="B264" s="5"/>
      <c r="C264" s="1"/>
      <c r="D264" s="1"/>
      <c r="E264" s="1"/>
      <c r="F264" s="1"/>
      <c r="G264" s="1"/>
    </row>
    <row r="265" spans="1:7" ht="12.75">
      <c r="A265" s="1"/>
      <c r="B265" s="5"/>
      <c r="C265" s="1"/>
      <c r="D265" s="1"/>
      <c r="E265" s="1"/>
      <c r="F265" s="1"/>
      <c r="G265" s="1"/>
    </row>
    <row r="266" spans="1:7" ht="12.75">
      <c r="A266" s="1"/>
      <c r="B266" s="5"/>
      <c r="C266" s="1"/>
      <c r="D266" s="1"/>
      <c r="E266" s="1"/>
      <c r="F266" s="1"/>
      <c r="G266" s="1"/>
    </row>
    <row r="267" spans="1:7" ht="12.75">
      <c r="A267" s="1"/>
      <c r="B267" s="5"/>
      <c r="C267" s="1"/>
      <c r="D267" s="1"/>
      <c r="E267" s="1"/>
      <c r="F267" s="1"/>
      <c r="G267" s="1"/>
    </row>
    <row r="268" spans="1:7" ht="12.75">
      <c r="A268" s="1"/>
      <c r="B268" s="5"/>
      <c r="C268" s="1"/>
      <c r="D268" s="1"/>
      <c r="E268" s="1"/>
      <c r="F268" s="1"/>
      <c r="G268" s="1"/>
    </row>
    <row r="269" spans="1:7" ht="12.75">
      <c r="A269" s="1"/>
      <c r="B269" s="5"/>
      <c r="C269" s="1"/>
      <c r="D269" s="1"/>
      <c r="E269" s="1"/>
      <c r="F269" s="1"/>
      <c r="G269" s="1"/>
    </row>
    <row r="270" spans="1:7" ht="12.75">
      <c r="A270" s="1"/>
      <c r="B270" s="5"/>
      <c r="C270" s="1"/>
      <c r="D270" s="1"/>
      <c r="E270" s="1"/>
      <c r="F270" s="1"/>
      <c r="G270" s="1"/>
    </row>
    <row r="271" spans="1:7" ht="12.75">
      <c r="A271" s="1"/>
      <c r="B271" s="5"/>
      <c r="C271" s="1"/>
      <c r="D271" s="1"/>
      <c r="E271" s="1"/>
      <c r="F271" s="1"/>
      <c r="G271" s="1"/>
    </row>
    <row r="272" spans="1:7" ht="12.75">
      <c r="A272" s="1"/>
      <c r="B272" s="5"/>
      <c r="C272" s="1"/>
      <c r="D272" s="1"/>
      <c r="E272" s="1"/>
      <c r="F272" s="1"/>
      <c r="G272" s="1"/>
    </row>
    <row r="273" spans="1:7" ht="12.75">
      <c r="A273" s="1"/>
      <c r="B273" s="5"/>
      <c r="C273" s="1"/>
      <c r="D273" s="1"/>
      <c r="E273" s="1"/>
      <c r="F273" s="1"/>
      <c r="G273" s="1"/>
    </row>
    <row r="274" spans="1:7" ht="12.75">
      <c r="A274" s="1"/>
      <c r="B274" s="5"/>
      <c r="C274" s="1"/>
      <c r="D274" s="1"/>
      <c r="E274" s="1"/>
      <c r="F274" s="1"/>
      <c r="G274" s="1"/>
    </row>
    <row r="275" spans="1:7" ht="12.75">
      <c r="A275" s="1"/>
      <c r="B275" s="5"/>
      <c r="C275" s="1"/>
      <c r="D275" s="1"/>
      <c r="E275" s="1"/>
      <c r="F275" s="1"/>
      <c r="G275" s="1"/>
    </row>
    <row r="276" spans="1:7" ht="12.75">
      <c r="A276" s="1"/>
      <c r="B276" s="5"/>
      <c r="C276" s="1"/>
      <c r="D276" s="1"/>
      <c r="E276" s="1"/>
      <c r="F276" s="1"/>
      <c r="G276" s="1"/>
    </row>
    <row r="277" spans="1:7" ht="12.75">
      <c r="A277" s="1"/>
      <c r="B277" s="5"/>
      <c r="C277" s="1"/>
      <c r="D277" s="1"/>
      <c r="E277" s="1"/>
      <c r="F277" s="1"/>
      <c r="G277" s="1"/>
    </row>
    <row r="278" spans="1:7" ht="12.75">
      <c r="A278" s="1"/>
      <c r="B278" s="5"/>
      <c r="C278" s="1"/>
      <c r="D278" s="1"/>
      <c r="E278" s="1"/>
      <c r="F278" s="1"/>
      <c r="G278" s="1"/>
    </row>
    <row r="279" spans="1:7" ht="12.75">
      <c r="A279" s="1"/>
      <c r="B279" s="5"/>
      <c r="C279" s="1"/>
      <c r="D279" s="1"/>
      <c r="E279" s="1"/>
      <c r="F279" s="1"/>
      <c r="G279" s="1"/>
    </row>
    <row r="280" spans="1:7" ht="12.75">
      <c r="A280" s="1"/>
      <c r="B280" s="5"/>
      <c r="C280" s="1"/>
      <c r="D280" s="1"/>
      <c r="E280" s="1"/>
      <c r="F280" s="1"/>
      <c r="G280" s="1"/>
    </row>
    <row r="281" spans="1:7" ht="12.75">
      <c r="A281" s="1"/>
      <c r="B281" s="5"/>
      <c r="C281" s="1"/>
      <c r="D281" s="1"/>
      <c r="E281" s="1"/>
      <c r="F281" s="1"/>
      <c r="G281" s="1"/>
    </row>
    <row r="282" spans="1:7" ht="12.75">
      <c r="A282" s="1"/>
      <c r="B282" s="5"/>
      <c r="C282" s="1"/>
      <c r="D282" s="1"/>
      <c r="E282" s="1"/>
      <c r="F282" s="1"/>
      <c r="G282" s="1"/>
    </row>
    <row r="283" spans="1:7" ht="12.75">
      <c r="A283" s="1"/>
      <c r="B283" s="5"/>
      <c r="C283" s="1"/>
      <c r="D283" s="1"/>
      <c r="E283" s="1"/>
      <c r="F283" s="1"/>
      <c r="G283" s="1"/>
    </row>
    <row r="284" spans="1:7" ht="12.75">
      <c r="A284" s="1"/>
      <c r="B284" s="5"/>
      <c r="C284" s="1"/>
      <c r="D284" s="1"/>
      <c r="E284" s="1"/>
      <c r="F284" s="1"/>
      <c r="G284" s="1"/>
    </row>
    <row r="285" spans="1:7" ht="12.75">
      <c r="A285" s="1"/>
      <c r="B285" s="5"/>
      <c r="C285" s="1"/>
      <c r="D285" s="1"/>
      <c r="E285" s="1"/>
      <c r="F285" s="1"/>
      <c r="G285" s="1"/>
    </row>
    <row r="286" spans="1:7" ht="12.75">
      <c r="A286" s="1"/>
      <c r="B286" s="5"/>
      <c r="C286" s="1"/>
      <c r="D286" s="1"/>
      <c r="E286" s="1"/>
      <c r="F286" s="1"/>
      <c r="G286" s="1"/>
    </row>
    <row r="287" spans="1:7" ht="12.75">
      <c r="A287" s="1"/>
      <c r="B287" s="5"/>
      <c r="C287" s="1"/>
      <c r="D287" s="1"/>
      <c r="E287" s="1"/>
      <c r="F287" s="1"/>
      <c r="G287" s="1"/>
    </row>
    <row r="288" spans="1:7" ht="12.75">
      <c r="A288" s="1"/>
      <c r="B288" s="5"/>
      <c r="C288" s="1"/>
      <c r="D288" s="1"/>
      <c r="E288" s="1"/>
      <c r="F288" s="1"/>
      <c r="G288" s="1"/>
    </row>
    <row r="289" spans="1:7" ht="12.75">
      <c r="A289" s="1"/>
      <c r="B289" s="5"/>
      <c r="C289" s="1"/>
      <c r="D289" s="1"/>
      <c r="E289" s="1"/>
      <c r="F289" s="1"/>
      <c r="G289" s="1"/>
    </row>
    <row r="290" spans="1:7" ht="12.75">
      <c r="A290" s="1"/>
      <c r="B290" s="5"/>
      <c r="C290" s="1"/>
      <c r="D290" s="1"/>
      <c r="E290" s="1"/>
      <c r="F290" s="1"/>
      <c r="G290" s="1"/>
    </row>
    <row r="291" spans="1:7" ht="12.75">
      <c r="A291" s="1"/>
      <c r="B291" s="5"/>
      <c r="C291" s="1"/>
      <c r="D291" s="1"/>
      <c r="E291" s="1"/>
      <c r="F291" s="1"/>
      <c r="G291" s="1"/>
    </row>
    <row r="292" spans="1:7" ht="12.75">
      <c r="A292" s="1"/>
      <c r="B292" s="5"/>
      <c r="C292" s="1"/>
      <c r="D292" s="1"/>
      <c r="E292" s="1"/>
      <c r="F292" s="1"/>
      <c r="G292" s="1"/>
    </row>
    <row r="293" spans="1:7" ht="12.75">
      <c r="A293" s="1"/>
      <c r="B293" s="5"/>
      <c r="C293" s="1"/>
      <c r="D293" s="1"/>
      <c r="E293" s="1"/>
      <c r="F293" s="1"/>
      <c r="G293" s="1"/>
    </row>
    <row r="294" spans="1:7" ht="12.75">
      <c r="A294" s="1"/>
      <c r="B294" s="5"/>
      <c r="C294" s="1"/>
      <c r="D294" s="1"/>
      <c r="E294" s="1"/>
      <c r="F294" s="1"/>
      <c r="G294" s="1"/>
    </row>
    <row r="295" spans="1:7" ht="12.75">
      <c r="A295" s="1"/>
      <c r="B295" s="5"/>
      <c r="C295" s="1"/>
      <c r="D295" s="1"/>
      <c r="E295" s="1"/>
      <c r="F295" s="1"/>
      <c r="G295" s="1"/>
    </row>
    <row r="296" spans="1:7" ht="12.75">
      <c r="A296" s="1"/>
      <c r="B296" s="5"/>
      <c r="C296" s="1"/>
      <c r="D296" s="1"/>
      <c r="E296" s="1"/>
      <c r="F296" s="1"/>
      <c r="G296" s="1"/>
    </row>
    <row r="297" spans="1:7" ht="12.75">
      <c r="A297" s="1"/>
      <c r="B297" s="5"/>
      <c r="C297" s="1"/>
      <c r="D297" s="1"/>
      <c r="E297" s="1"/>
      <c r="F297" s="1"/>
      <c r="G297" s="1"/>
    </row>
    <row r="298" spans="1:7" ht="12.75">
      <c r="A298" s="1"/>
      <c r="B298" s="5"/>
      <c r="C298" s="1"/>
      <c r="D298" s="1"/>
      <c r="E298" s="1"/>
      <c r="F298" s="1"/>
      <c r="G298" s="1"/>
    </row>
    <row r="299" spans="1:7" ht="12.75">
      <c r="A299" s="1"/>
      <c r="B299" s="5"/>
      <c r="C299" s="1"/>
      <c r="D299" s="1"/>
      <c r="E299" s="1"/>
      <c r="F299" s="1"/>
      <c r="G299" s="1"/>
    </row>
    <row r="300" spans="1:7" ht="12.75">
      <c r="A300" s="1"/>
      <c r="B300" s="5"/>
      <c r="C300" s="1"/>
      <c r="D300" s="1"/>
      <c r="E300" s="1"/>
      <c r="F300" s="1"/>
      <c r="G300" s="1"/>
    </row>
    <row r="301" spans="1:7" ht="12.75">
      <c r="A301" s="1"/>
      <c r="B301" s="5"/>
      <c r="C301" s="1"/>
      <c r="D301" s="1"/>
      <c r="E301" s="1"/>
      <c r="F301" s="1"/>
      <c r="G301" s="1"/>
    </row>
    <row r="302" spans="1:7" ht="12.75">
      <c r="A302" s="1"/>
      <c r="B302" s="5"/>
      <c r="C302" s="1"/>
      <c r="D302" s="1"/>
      <c r="E302" s="1"/>
      <c r="F302" s="1"/>
      <c r="G302" s="1"/>
    </row>
    <row r="303" spans="1:7" ht="12.75">
      <c r="A303" s="1"/>
      <c r="B303" s="5"/>
      <c r="C303" s="1"/>
      <c r="D303" s="1"/>
      <c r="E303" s="1"/>
      <c r="F303" s="1"/>
      <c r="G303" s="1"/>
    </row>
    <row r="304" spans="1:7" ht="12.75">
      <c r="A304" s="1"/>
      <c r="B304" s="5"/>
      <c r="C304" s="1"/>
      <c r="D304" s="1"/>
      <c r="E304" s="1"/>
      <c r="F304" s="1"/>
      <c r="G304" s="1"/>
    </row>
    <row r="305" spans="1:7" ht="12.75">
      <c r="A305" s="1"/>
      <c r="B305" s="5"/>
      <c r="C305" s="1"/>
      <c r="D305" s="1"/>
      <c r="E305" s="1"/>
      <c r="F305" s="1"/>
      <c r="G305" s="1"/>
    </row>
    <row r="306" spans="1:7" ht="12.75">
      <c r="A306" s="1"/>
      <c r="B306" s="5"/>
      <c r="C306" s="1"/>
      <c r="D306" s="1"/>
      <c r="E306" s="1"/>
      <c r="F306" s="1"/>
      <c r="G306" s="1"/>
    </row>
    <row r="307" spans="1:7" ht="12.75">
      <c r="A307" s="1"/>
      <c r="B307" s="5"/>
      <c r="C307" s="1"/>
      <c r="D307" s="1"/>
      <c r="E307" s="1"/>
      <c r="F307" s="1"/>
      <c r="G307" s="1"/>
    </row>
    <row r="308" spans="1:7" ht="12.75">
      <c r="A308" s="1"/>
      <c r="B308" s="5"/>
      <c r="C308" s="1"/>
      <c r="D308" s="1"/>
      <c r="E308" s="1"/>
      <c r="F308" s="1"/>
      <c r="G308" s="1"/>
    </row>
    <row r="309" spans="1:7" ht="12.75">
      <c r="A309" s="1"/>
      <c r="B309" s="5"/>
      <c r="C309" s="1"/>
      <c r="D309" s="1"/>
      <c r="E309" s="1"/>
      <c r="F309" s="1"/>
      <c r="G309" s="1"/>
    </row>
    <row r="310" spans="1:7" ht="12.75">
      <c r="A310" s="1"/>
      <c r="B310" s="5"/>
      <c r="C310" s="1"/>
      <c r="D310" s="1"/>
      <c r="E310" s="1"/>
      <c r="F310" s="1"/>
      <c r="G310" s="1"/>
    </row>
    <row r="311" spans="1:7" ht="12.75">
      <c r="A311" s="1"/>
      <c r="B311" s="5"/>
      <c r="C311" s="1"/>
      <c r="D311" s="1"/>
      <c r="E311" s="1"/>
      <c r="F311" s="1"/>
      <c r="G311" s="1"/>
    </row>
    <row r="312" spans="1:7" ht="12.75">
      <c r="A312" s="1"/>
      <c r="B312" s="5"/>
      <c r="C312" s="1"/>
      <c r="D312" s="1"/>
      <c r="E312" s="1"/>
      <c r="F312" s="1"/>
      <c r="G312" s="1"/>
    </row>
    <row r="313" spans="1:7" ht="12.75">
      <c r="A313" s="1"/>
      <c r="B313" s="5"/>
      <c r="C313" s="1"/>
      <c r="D313" s="1"/>
      <c r="E313" s="1"/>
      <c r="F313" s="1"/>
      <c r="G313" s="1"/>
    </row>
    <row r="314" spans="1:7" ht="12.75">
      <c r="A314" s="1"/>
      <c r="B314" s="5"/>
      <c r="C314" s="1"/>
      <c r="D314" s="1"/>
      <c r="E314" s="1"/>
      <c r="F314" s="1"/>
      <c r="G314" s="1"/>
    </row>
    <row r="315" spans="1:7" ht="12.75">
      <c r="A315" s="1"/>
      <c r="B315" s="5"/>
      <c r="C315" s="1"/>
      <c r="D315" s="1"/>
      <c r="E315" s="1"/>
      <c r="F315" s="1"/>
      <c r="G315" s="1"/>
    </row>
    <row r="316" spans="1:7" ht="12.75">
      <c r="A316" s="1"/>
      <c r="B316" s="5"/>
      <c r="C316" s="1"/>
      <c r="D316" s="1"/>
      <c r="E316" s="1"/>
      <c r="F316" s="1"/>
      <c r="G316" s="1"/>
    </row>
    <row r="317" spans="1:7" ht="12.75">
      <c r="A317" s="1"/>
      <c r="B317" s="5"/>
      <c r="C317" s="1"/>
      <c r="D317" s="1"/>
      <c r="E317" s="1"/>
      <c r="F317" s="1"/>
      <c r="G317" s="1"/>
    </row>
    <row r="318" spans="1:7" ht="12.75">
      <c r="A318" s="1"/>
      <c r="B318" s="5"/>
      <c r="C318" s="1"/>
      <c r="D318" s="1"/>
      <c r="E318" s="1"/>
      <c r="F318" s="1"/>
      <c r="G318" s="1"/>
    </row>
    <row r="319" spans="1:7" ht="12.75">
      <c r="A319" s="1"/>
      <c r="B319" s="5"/>
      <c r="C319" s="1"/>
      <c r="D319" s="1"/>
      <c r="E319" s="1"/>
      <c r="F319" s="1"/>
      <c r="G319" s="1"/>
    </row>
    <row r="320" spans="1:7" ht="12.75">
      <c r="A320" s="1"/>
      <c r="B320" s="5"/>
      <c r="C320" s="1"/>
      <c r="D320" s="1"/>
      <c r="E320" s="1"/>
      <c r="F320" s="1"/>
      <c r="G320" s="1"/>
    </row>
    <row r="321" spans="1:7" ht="12.75">
      <c r="A321" s="1"/>
      <c r="B321" s="5"/>
      <c r="C321" s="1"/>
      <c r="D321" s="1"/>
      <c r="E321" s="1"/>
      <c r="F321" s="1"/>
      <c r="G321" s="1"/>
    </row>
    <row r="322" spans="1:7" ht="12.75">
      <c r="A322" s="1"/>
      <c r="B322" s="5"/>
      <c r="C322" s="1"/>
      <c r="D322" s="1"/>
      <c r="E322" s="1"/>
      <c r="F322" s="1"/>
      <c r="G322" s="1"/>
    </row>
    <row r="323" spans="1:7" ht="12.75">
      <c r="A323" s="1"/>
      <c r="B323" s="5"/>
      <c r="C323" s="1"/>
      <c r="D323" s="1"/>
      <c r="E323" s="1"/>
      <c r="F323" s="1"/>
      <c r="G323" s="1"/>
    </row>
    <row r="324" spans="1:7" ht="12.75">
      <c r="A324" s="1"/>
      <c r="B324" s="5"/>
      <c r="C324" s="1"/>
      <c r="D324" s="1"/>
      <c r="E324" s="1"/>
      <c r="F324" s="1"/>
      <c r="G324" s="1"/>
    </row>
    <row r="325" spans="1:7" ht="12.75">
      <c r="A325" s="1"/>
      <c r="B325" s="5"/>
      <c r="C325" s="1"/>
      <c r="D325" s="1"/>
      <c r="E325" s="1"/>
      <c r="F325" s="1"/>
      <c r="G325" s="1"/>
    </row>
    <row r="326" spans="1:7" ht="12.75">
      <c r="A326" s="1"/>
      <c r="B326" s="5"/>
      <c r="C326" s="1"/>
      <c r="D326" s="1"/>
      <c r="E326" s="1"/>
      <c r="F326" s="1"/>
      <c r="G326" s="1"/>
    </row>
    <row r="327" spans="1:7" ht="12.75">
      <c r="A327" s="1"/>
      <c r="B327" s="5"/>
      <c r="C327" s="1"/>
      <c r="D327" s="1"/>
      <c r="E327" s="1"/>
      <c r="F327" s="1"/>
      <c r="G327" s="1"/>
    </row>
    <row r="328" spans="1:7" ht="12.75">
      <c r="A328" s="1"/>
      <c r="B328" s="5"/>
      <c r="C328" s="1"/>
      <c r="D328" s="1"/>
      <c r="E328" s="1"/>
      <c r="F328" s="1"/>
      <c r="G328" s="1"/>
    </row>
    <row r="329" spans="1:7" ht="12.75">
      <c r="A329" s="1"/>
      <c r="B329" s="5"/>
      <c r="C329" s="1"/>
      <c r="D329" s="1"/>
      <c r="E329" s="1"/>
      <c r="F329" s="1"/>
      <c r="G329" s="1"/>
    </row>
    <row r="330" spans="1:7" ht="12.75">
      <c r="A330" s="1"/>
      <c r="B330" s="5"/>
      <c r="C330" s="1"/>
      <c r="D330" s="1"/>
      <c r="E330" s="1"/>
      <c r="F330" s="1"/>
      <c r="G330" s="1"/>
    </row>
    <row r="331" spans="1:7" ht="12.75">
      <c r="A331" s="1"/>
      <c r="B331" s="5"/>
      <c r="C331" s="1"/>
      <c r="D331" s="1"/>
      <c r="E331" s="1"/>
      <c r="F331" s="1"/>
      <c r="G331" s="1"/>
    </row>
    <row r="332" spans="1:7" ht="12.75">
      <c r="A332" s="1"/>
      <c r="B332" s="5"/>
      <c r="C332" s="1"/>
      <c r="D332" s="1"/>
      <c r="E332" s="1"/>
      <c r="F332" s="1"/>
      <c r="G332" s="1"/>
    </row>
    <row r="333" spans="1:7" ht="12.75">
      <c r="A333" s="1"/>
      <c r="B333" s="5"/>
      <c r="C333" s="1"/>
      <c r="D333" s="1"/>
      <c r="E333" s="1"/>
      <c r="F333" s="1"/>
      <c r="G333" s="1"/>
    </row>
    <row r="334" spans="1:7" ht="12.75">
      <c r="A334" s="1"/>
      <c r="B334" s="5"/>
      <c r="C334" s="1"/>
      <c r="D334" s="1"/>
      <c r="E334" s="1"/>
      <c r="F334" s="1"/>
      <c r="G334" s="1"/>
    </row>
    <row r="335" spans="1:7" ht="12.75">
      <c r="A335" s="1"/>
      <c r="B335" s="5"/>
      <c r="C335" s="1"/>
      <c r="D335" s="1"/>
      <c r="E335" s="1"/>
      <c r="F335" s="1"/>
      <c r="G335" s="1"/>
    </row>
    <row r="336" spans="1:7" ht="12.75">
      <c r="A336" s="1"/>
      <c r="B336" s="5"/>
      <c r="C336" s="1"/>
      <c r="D336" s="1"/>
      <c r="E336" s="1"/>
      <c r="F336" s="1"/>
      <c r="G336" s="1"/>
    </row>
    <row r="337" spans="1:7" ht="12.75">
      <c r="A337" s="1"/>
      <c r="B337" s="5"/>
      <c r="C337" s="1"/>
      <c r="D337" s="1"/>
      <c r="E337" s="1"/>
      <c r="F337" s="1"/>
      <c r="G337" s="1"/>
    </row>
    <row r="338" spans="1:7" ht="12.75">
      <c r="A338" s="1"/>
      <c r="B338" s="5"/>
      <c r="C338" s="1"/>
      <c r="D338" s="1"/>
      <c r="E338" s="1"/>
      <c r="F338" s="1"/>
      <c r="G338" s="1"/>
    </row>
    <row r="339" spans="1:7" ht="12.75">
      <c r="A339" s="1"/>
      <c r="B339" s="5"/>
      <c r="C339" s="1"/>
      <c r="D339" s="1"/>
      <c r="E339" s="1"/>
      <c r="F339" s="1"/>
      <c r="G339" s="1"/>
    </row>
    <row r="340" spans="1:7" ht="12.75">
      <c r="A340" s="1"/>
      <c r="B340" s="5"/>
      <c r="C340" s="1"/>
      <c r="D340" s="1"/>
      <c r="E340" s="1"/>
      <c r="F340" s="1"/>
      <c r="G340" s="1"/>
    </row>
    <row r="341" spans="1:7" ht="12.75">
      <c r="A341" s="1"/>
      <c r="B341" s="5"/>
      <c r="C341" s="1"/>
      <c r="D341" s="1"/>
      <c r="E341" s="1"/>
      <c r="F341" s="1"/>
      <c r="G341" s="1"/>
    </row>
    <row r="342" spans="1:7" ht="12.75">
      <c r="A342" s="1"/>
      <c r="B342" s="5"/>
      <c r="C342" s="1"/>
      <c r="D342" s="1"/>
      <c r="E342" s="1"/>
      <c r="F342" s="1"/>
      <c r="G342" s="1"/>
    </row>
    <row r="343" spans="1:7" ht="12.75">
      <c r="A343" s="1"/>
      <c r="B343" s="5"/>
      <c r="C343" s="1"/>
      <c r="D343" s="1"/>
      <c r="E343" s="1"/>
      <c r="F343" s="1"/>
      <c r="G343" s="1"/>
    </row>
    <row r="344" spans="1:7" ht="12.75">
      <c r="A344" s="1"/>
      <c r="B344" s="5"/>
      <c r="C344" s="1"/>
      <c r="D344" s="1"/>
      <c r="E344" s="1"/>
      <c r="F344" s="1"/>
      <c r="G344" s="1"/>
    </row>
    <row r="345" spans="1:7" ht="12.75">
      <c r="A345" s="1"/>
      <c r="B345" s="5"/>
      <c r="C345" s="1"/>
      <c r="D345" s="1"/>
      <c r="E345" s="1"/>
      <c r="F345" s="1"/>
      <c r="G345" s="1"/>
    </row>
    <row r="346" spans="1:7" ht="12.75">
      <c r="A346" s="1"/>
      <c r="B346" s="5"/>
      <c r="C346" s="1"/>
      <c r="D346" s="1"/>
      <c r="E346" s="1"/>
      <c r="F346" s="1"/>
      <c r="G346" s="1"/>
    </row>
    <row r="347" spans="1:7" ht="12.75">
      <c r="A347" s="1"/>
      <c r="B347" s="5"/>
      <c r="C347" s="1"/>
      <c r="D347" s="1"/>
      <c r="E347" s="1"/>
      <c r="F347" s="1"/>
      <c r="G347" s="1"/>
    </row>
    <row r="348" spans="1:7" ht="12.75">
      <c r="A348" s="1"/>
      <c r="B348" s="5"/>
      <c r="C348" s="1"/>
      <c r="D348" s="1"/>
      <c r="E348" s="1"/>
      <c r="F348" s="1"/>
      <c r="G348" s="1"/>
    </row>
    <row r="349" spans="1:7" ht="12.75">
      <c r="A349" s="1"/>
      <c r="B349" s="5"/>
      <c r="C349" s="1"/>
      <c r="D349" s="1"/>
      <c r="E349" s="1"/>
      <c r="F349" s="1"/>
      <c r="G349" s="1"/>
    </row>
    <row r="350" spans="1:7" ht="12.75">
      <c r="A350" s="1"/>
      <c r="B350" s="5"/>
      <c r="C350" s="1"/>
      <c r="D350" s="1"/>
      <c r="E350" s="1"/>
      <c r="F350" s="1"/>
      <c r="G350" s="1"/>
    </row>
    <row r="351" spans="1:7" ht="12.75">
      <c r="A351" s="1"/>
      <c r="B351" s="5"/>
      <c r="C351" s="1"/>
      <c r="D351" s="1"/>
      <c r="E351" s="1"/>
      <c r="F351" s="1"/>
      <c r="G351" s="1"/>
    </row>
    <row r="352" spans="1:7" ht="12.75">
      <c r="A352" s="1"/>
      <c r="B352" s="5"/>
      <c r="C352" s="1"/>
      <c r="D352" s="1"/>
      <c r="E352" s="1"/>
      <c r="F352" s="1"/>
      <c r="G352" s="1"/>
    </row>
    <row r="353" spans="1:7" ht="12.75">
      <c r="A353" s="1"/>
      <c r="B353" s="5"/>
      <c r="C353" s="1"/>
      <c r="D353" s="1"/>
      <c r="E353" s="1"/>
      <c r="F353" s="1"/>
      <c r="G353" s="1"/>
    </row>
    <row r="354" spans="1:7" ht="12.75">
      <c r="A354" s="1"/>
      <c r="B354" s="5"/>
      <c r="C354" s="1"/>
      <c r="D354" s="1"/>
      <c r="E354" s="1"/>
      <c r="F354" s="1"/>
      <c r="G354" s="1"/>
    </row>
    <row r="355" spans="1:7" ht="12.75">
      <c r="A355" s="1"/>
      <c r="B355" s="5"/>
      <c r="C355" s="1"/>
      <c r="D355" s="1"/>
      <c r="E355" s="1"/>
      <c r="F355" s="1"/>
      <c r="G355" s="1"/>
    </row>
    <row r="356" spans="1:7" ht="12.75">
      <c r="A356" s="1"/>
      <c r="B356" s="5"/>
      <c r="C356" s="1"/>
      <c r="D356" s="1"/>
      <c r="E356" s="1"/>
      <c r="F356" s="1"/>
      <c r="G356" s="1"/>
    </row>
    <row r="357" spans="1:7" ht="12.75">
      <c r="A357" s="1"/>
      <c r="B357" s="5"/>
      <c r="C357" s="1"/>
      <c r="D357" s="1"/>
      <c r="E357" s="1"/>
      <c r="F357" s="1"/>
      <c r="G357" s="1"/>
    </row>
    <row r="358" spans="1:7" ht="12.75">
      <c r="A358" s="1"/>
      <c r="B358" s="5"/>
      <c r="C358" s="1"/>
      <c r="D358" s="1"/>
      <c r="E358" s="1"/>
      <c r="F358" s="1"/>
      <c r="G358" s="1"/>
    </row>
    <row r="359" spans="1:7" ht="12.75">
      <c r="A359" s="1"/>
      <c r="B359" s="5"/>
      <c r="C359" s="1"/>
      <c r="D359" s="1"/>
      <c r="E359" s="1"/>
      <c r="F359" s="1"/>
      <c r="G359" s="1"/>
    </row>
    <row r="360" spans="1:7" ht="12.75">
      <c r="A360" s="1"/>
      <c r="B360" s="5"/>
      <c r="C360" s="1"/>
      <c r="D360" s="1"/>
      <c r="E360" s="1"/>
      <c r="F360" s="1"/>
      <c r="G360" s="1"/>
    </row>
  </sheetData>
  <sheetProtection password="D8FD" sheet="1"/>
  <mergeCells count="4">
    <mergeCell ref="H162:K162"/>
    <mergeCell ref="H163:K163"/>
    <mergeCell ref="H164:K164"/>
    <mergeCell ref="H165:K165"/>
  </mergeCells>
  <dataValidations count="3">
    <dataValidation type="list" allowBlank="1" showInputMessage="1" showErrorMessage="1" sqref="A8">
      <formula1>$H$43:$H$54</formula1>
    </dataValidation>
    <dataValidation type="list" allowBlank="1" showInputMessage="1" showErrorMessage="1" sqref="B13">
      <formula1>$J$43:$J$49</formula1>
    </dataValidation>
    <dataValidation type="list" allowBlank="1" showInputMessage="1" showErrorMessage="1" sqref="B11">
      <formula1>$K$43:$K$57</formula1>
    </dataValidation>
  </dataValidations>
  <hyperlinks>
    <hyperlink ref="A40" location="Istruzioni!A1" display="Vai alla pagina Istruzioni"/>
    <hyperlink ref="B3" location="Istruzioni!A1" display="Vai alla pagina Istruzioni"/>
  </hyperlinks>
  <printOptions/>
  <pageMargins left="0.5905511811023623" right="0.3937007874015748" top="0.5905511811023623" bottom="0.5905511811023623" header="0.31496062992125984" footer="0.31496062992125984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O16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6.28125" style="0" customWidth="1"/>
    <col min="3" max="4" width="11.7109375" style="0" customWidth="1"/>
    <col min="5" max="5" width="12.421875" style="0" customWidth="1"/>
    <col min="6" max="6" width="13.140625" style="0" customWidth="1"/>
    <col min="7" max="7" width="13.8515625" style="0" customWidth="1"/>
    <col min="8" max="12" width="11.7109375" style="0" customWidth="1"/>
    <col min="13" max="13" width="10.140625" style="0" customWidth="1"/>
    <col min="14" max="14" width="9.28125" style="0" bestFit="1" customWidth="1"/>
    <col min="15" max="15" width="10.57421875" style="0" customWidth="1"/>
  </cols>
  <sheetData>
    <row r="1" spans="1:15" ht="12.75">
      <c r="A1" s="23"/>
      <c r="B1" s="23"/>
      <c r="C1" s="94">
        <f>Buonuscita!C11</f>
        <v>2016</v>
      </c>
      <c r="D1" s="98">
        <f>IF(H1=0,Buonuscita!C11,2004)</f>
        <v>2016</v>
      </c>
      <c r="E1" s="98">
        <f>Buonuscita!I56</f>
        <v>7</v>
      </c>
      <c r="F1" s="170">
        <f>IF(C1=2005,1,0)</f>
        <v>0</v>
      </c>
      <c r="G1" s="171">
        <f>IF(C2=1,1,0)</f>
        <v>0</v>
      </c>
      <c r="H1" s="172">
        <f>F1*G1</f>
        <v>0</v>
      </c>
      <c r="I1" s="23"/>
      <c r="J1" s="174">
        <f>IF(E1=11,1,0)</f>
        <v>0</v>
      </c>
      <c r="K1" s="23"/>
      <c r="L1" s="23"/>
      <c r="M1" s="94">
        <v>2002</v>
      </c>
      <c r="N1" s="145">
        <f>M14</f>
        <v>1455.6164408200648</v>
      </c>
      <c r="O1" s="23"/>
    </row>
    <row r="2" spans="1:15" ht="12.75">
      <c r="A2" s="23"/>
      <c r="B2" s="23"/>
      <c r="C2" s="94">
        <f>MONTH(Buonuscita!B11)</f>
        <v>9</v>
      </c>
      <c r="D2" s="144">
        <f>VLOOKUP(D1,M1:O12,2+H2)</f>
        <v>1825.6566666666668</v>
      </c>
      <c r="E2" s="98">
        <f>Buonuscita!B13</f>
        <v>35</v>
      </c>
      <c r="F2" s="170">
        <f>IF(C1=2007,1,0)</f>
        <v>0</v>
      </c>
      <c r="G2" s="171">
        <f>IF(C2=1,1,0)</f>
        <v>0</v>
      </c>
      <c r="H2" s="172">
        <f>F2*G2</f>
        <v>0</v>
      </c>
      <c r="I2" s="23"/>
      <c r="J2" s="144">
        <f>Buonuscita!B23*J1*12</f>
        <v>0</v>
      </c>
      <c r="K2" s="23"/>
      <c r="L2" s="23"/>
      <c r="M2" s="94">
        <v>2003</v>
      </c>
      <c r="N2" s="145">
        <f>M30</f>
        <v>1505.9066666666668</v>
      </c>
      <c r="O2" s="23"/>
    </row>
    <row r="3" spans="1:15" ht="12.75">
      <c r="A3" s="23"/>
      <c r="B3" s="23"/>
      <c r="C3" s="174" t="s">
        <v>230</v>
      </c>
      <c r="D3" s="23"/>
      <c r="E3" s="174" t="s">
        <v>228</v>
      </c>
      <c r="F3" s="23"/>
      <c r="G3" s="23"/>
      <c r="H3" s="173" t="s">
        <v>226</v>
      </c>
      <c r="I3" s="23"/>
      <c r="J3" s="174" t="s">
        <v>241</v>
      </c>
      <c r="K3" s="23"/>
      <c r="L3" s="23"/>
      <c r="M3" s="94">
        <v>2004</v>
      </c>
      <c r="N3" s="145">
        <f>M46</f>
        <v>1555.1664408200647</v>
      </c>
      <c r="O3" s="23"/>
    </row>
    <row r="4" spans="1:15" ht="12.75">
      <c r="A4" s="23"/>
      <c r="B4" s="23"/>
      <c r="C4" s="122" t="s">
        <v>231</v>
      </c>
      <c r="D4" s="23"/>
      <c r="E4" s="122" t="s">
        <v>227</v>
      </c>
      <c r="F4" s="23"/>
      <c r="G4" s="23"/>
      <c r="H4" s="122" t="s">
        <v>229</v>
      </c>
      <c r="I4" s="23"/>
      <c r="J4" s="122" t="s">
        <v>242</v>
      </c>
      <c r="K4" s="23"/>
      <c r="L4" s="23"/>
      <c r="M4" s="94">
        <v>2005</v>
      </c>
      <c r="N4" s="145">
        <f>M62</f>
        <v>1613.1166666666668</v>
      </c>
      <c r="O4" s="23"/>
    </row>
    <row r="5" spans="1:15" ht="12.7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94">
        <v>2006</v>
      </c>
      <c r="N5" s="145">
        <f>M78</f>
        <v>1623.0564408200648</v>
      </c>
      <c r="O5" s="23"/>
    </row>
    <row r="6" spans="1:15" ht="13.5" customHeight="1">
      <c r="A6" s="129" t="s">
        <v>212</v>
      </c>
      <c r="B6" s="129"/>
      <c r="C6" s="23"/>
      <c r="D6" s="23"/>
      <c r="E6" s="23"/>
      <c r="F6" s="23"/>
      <c r="G6" s="23"/>
      <c r="H6" s="23"/>
      <c r="I6" s="23"/>
      <c r="J6" s="23"/>
      <c r="K6" s="23"/>
      <c r="L6" s="23"/>
      <c r="M6" s="94">
        <v>2007</v>
      </c>
      <c r="N6" s="145">
        <f>M110</f>
        <v>1723.9464408200647</v>
      </c>
      <c r="O6" s="145">
        <f>M94</f>
        <v>1664.0666666666666</v>
      </c>
    </row>
    <row r="7" spans="1:15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94">
        <v>2008</v>
      </c>
      <c r="N7" s="145">
        <f>M124</f>
        <v>1751.6066666666666</v>
      </c>
      <c r="O7" s="23"/>
    </row>
    <row r="8" spans="1:15" ht="12.75">
      <c r="A8" s="120" t="s">
        <v>166</v>
      </c>
      <c r="B8" s="120"/>
      <c r="C8" s="121" t="s">
        <v>167</v>
      </c>
      <c r="D8" s="121" t="s">
        <v>167</v>
      </c>
      <c r="E8" s="121" t="s">
        <v>168</v>
      </c>
      <c r="F8" s="121" t="s">
        <v>169</v>
      </c>
      <c r="G8" s="121" t="s">
        <v>170</v>
      </c>
      <c r="H8" s="121" t="s">
        <v>171</v>
      </c>
      <c r="I8" s="121" t="s">
        <v>172</v>
      </c>
      <c r="J8" s="121" t="s">
        <v>171</v>
      </c>
      <c r="K8" s="121" t="s">
        <v>173</v>
      </c>
      <c r="L8" s="121" t="s">
        <v>208</v>
      </c>
      <c r="M8" s="94">
        <v>2009</v>
      </c>
      <c r="N8" s="190">
        <f>M138</f>
        <v>1825.6566666666668</v>
      </c>
      <c r="O8" s="23"/>
    </row>
    <row r="9" spans="1:15" ht="12.75">
      <c r="A9" s="120" t="s">
        <v>174</v>
      </c>
      <c r="B9" s="120" t="s">
        <v>207</v>
      </c>
      <c r="C9" s="121" t="s">
        <v>175</v>
      </c>
      <c r="D9" s="121" t="s">
        <v>175</v>
      </c>
      <c r="E9" s="121" t="s">
        <v>176</v>
      </c>
      <c r="F9" s="121" t="s">
        <v>177</v>
      </c>
      <c r="G9" s="121" t="s">
        <v>178</v>
      </c>
      <c r="H9" s="121" t="s">
        <v>179</v>
      </c>
      <c r="I9" s="121" t="s">
        <v>180</v>
      </c>
      <c r="J9" s="121" t="s">
        <v>181</v>
      </c>
      <c r="K9" s="121" t="s">
        <v>182</v>
      </c>
      <c r="L9" s="121" t="s">
        <v>209</v>
      </c>
      <c r="M9" s="94">
        <v>2010</v>
      </c>
      <c r="N9" s="177">
        <f>N8</f>
        <v>1825.6566666666668</v>
      </c>
      <c r="O9" s="23"/>
    </row>
    <row r="10" spans="1:15" ht="12.75">
      <c r="A10" s="122"/>
      <c r="B10" s="122"/>
      <c r="C10" s="123"/>
      <c r="D10" s="123" t="s">
        <v>183</v>
      </c>
      <c r="E10" s="123" t="s">
        <v>184</v>
      </c>
      <c r="F10" s="123" t="s">
        <v>185</v>
      </c>
      <c r="G10" s="123" t="s">
        <v>186</v>
      </c>
      <c r="H10" s="123" t="s">
        <v>187</v>
      </c>
      <c r="I10" s="123" t="s">
        <v>182</v>
      </c>
      <c r="J10" s="123"/>
      <c r="K10" s="123" t="s">
        <v>188</v>
      </c>
      <c r="L10" s="123"/>
      <c r="M10" s="94">
        <v>2011</v>
      </c>
      <c r="N10" s="177">
        <f>N9</f>
        <v>1825.6566666666668</v>
      </c>
      <c r="O10" s="23"/>
    </row>
    <row r="11" spans="1:15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27"/>
      <c r="L11" s="127"/>
      <c r="M11" s="94">
        <v>2012</v>
      </c>
      <c r="N11" s="177">
        <f>N10</f>
        <v>1825.6566666666668</v>
      </c>
      <c r="O11" s="23"/>
    </row>
    <row r="12" spans="1:15" ht="12.75">
      <c r="A12" s="124" t="s">
        <v>189</v>
      </c>
      <c r="B12" s="124"/>
      <c r="C12" s="125">
        <v>517.26</v>
      </c>
      <c r="D12" s="125">
        <v>517.26</v>
      </c>
      <c r="E12" s="125">
        <v>523.34</v>
      </c>
      <c r="F12" s="125">
        <v>530.98</v>
      </c>
      <c r="G12" s="125">
        <v>553.45</v>
      </c>
      <c r="H12" s="125">
        <v>532.01</v>
      </c>
      <c r="I12" s="125">
        <v>532.01</v>
      </c>
      <c r="J12" s="125">
        <v>538.3</v>
      </c>
      <c r="K12" s="125">
        <v>538.3</v>
      </c>
      <c r="L12" s="125">
        <v>558.77</v>
      </c>
      <c r="M12" s="94">
        <v>2013</v>
      </c>
      <c r="N12" s="177">
        <f>N11</f>
        <v>1825.6566666666668</v>
      </c>
      <c r="O12" s="23"/>
    </row>
    <row r="13" spans="1:15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28"/>
      <c r="L13" s="128"/>
      <c r="M13" s="23"/>
      <c r="N13" s="23"/>
      <c r="O13" s="23"/>
    </row>
    <row r="14" spans="1:15" ht="12.75">
      <c r="A14" s="94" t="s">
        <v>159</v>
      </c>
      <c r="B14" s="95">
        <v>0</v>
      </c>
      <c r="C14" s="126">
        <v>541.7982898907004</v>
      </c>
      <c r="D14" s="126">
        <v>568.9367059690367</v>
      </c>
      <c r="E14" s="126">
        <v>663.0678055574206</v>
      </c>
      <c r="F14" s="126">
        <v>825.498807053424</v>
      </c>
      <c r="G14" s="126">
        <v>1014.9126535039018</v>
      </c>
      <c r="H14" s="126">
        <v>825.598807053424</v>
      </c>
      <c r="I14" s="126">
        <v>825.598807053424</v>
      </c>
      <c r="J14" s="126">
        <v>935.1501947903272</v>
      </c>
      <c r="K14" s="126">
        <v>935.1501947903272</v>
      </c>
      <c r="L14" s="126">
        <v>2866.92</v>
      </c>
      <c r="M14" s="144">
        <f>VLOOKUP(E2,B14:L20,E1)</f>
        <v>1455.6164408200648</v>
      </c>
      <c r="N14" s="23"/>
      <c r="O14" s="23"/>
    </row>
    <row r="15" spans="1:15" ht="12.75">
      <c r="A15" s="94" t="s">
        <v>160</v>
      </c>
      <c r="B15" s="95">
        <v>3</v>
      </c>
      <c r="C15" s="126">
        <v>562.3640328053422</v>
      </c>
      <c r="D15" s="126">
        <v>588.9659919845889</v>
      </c>
      <c r="E15" s="126">
        <v>689.7228028115914</v>
      </c>
      <c r="F15" s="126">
        <v>862.1634473153708</v>
      </c>
      <c r="G15" s="126">
        <v>1060.5770610503703</v>
      </c>
      <c r="H15" s="126">
        <v>862.273447315371</v>
      </c>
      <c r="I15" s="126">
        <v>862.273447315371</v>
      </c>
      <c r="J15" s="126">
        <v>975.8312998703694</v>
      </c>
      <c r="K15" s="126">
        <v>1018.6282325467695</v>
      </c>
      <c r="L15" s="126">
        <v>2866.92</v>
      </c>
      <c r="M15" s="23"/>
      <c r="N15" s="23"/>
      <c r="O15" s="23"/>
    </row>
    <row r="16" spans="1:15" ht="12.75">
      <c r="A16" s="94" t="s">
        <v>161</v>
      </c>
      <c r="B16" s="95">
        <v>9</v>
      </c>
      <c r="C16" s="126">
        <v>636.9283794271115</v>
      </c>
      <c r="D16" s="126">
        <v>663.0038817072688</v>
      </c>
      <c r="E16" s="126">
        <v>784.9389684978509</v>
      </c>
      <c r="F16" s="126">
        <v>975.1209191211282</v>
      </c>
      <c r="G16" s="126">
        <v>1202.0801673320354</v>
      </c>
      <c r="H16" s="126">
        <v>975.2309191211281</v>
      </c>
      <c r="I16" s="126">
        <v>975.2309191211281</v>
      </c>
      <c r="J16" s="126">
        <v>1108.7850196167544</v>
      </c>
      <c r="K16" s="126">
        <v>1152.1944853420925</v>
      </c>
      <c r="L16" s="126">
        <v>2866.92</v>
      </c>
      <c r="M16" s="23"/>
      <c r="N16" s="23"/>
      <c r="O16" s="23"/>
    </row>
    <row r="17" spans="1:15" ht="12.75">
      <c r="A17" s="94" t="s">
        <v>162</v>
      </c>
      <c r="B17" s="95">
        <v>15</v>
      </c>
      <c r="C17" s="126">
        <v>706.5094235824549</v>
      </c>
      <c r="D17" s="126">
        <v>732.5849258626121</v>
      </c>
      <c r="E17" s="126">
        <v>875.1187936427599</v>
      </c>
      <c r="F17" s="126">
        <v>1107.0447631442587</v>
      </c>
      <c r="G17" s="126">
        <v>1367.231681773031</v>
      </c>
      <c r="H17" s="126">
        <v>1107.1647631442586</v>
      </c>
      <c r="I17" s="126">
        <v>1107.1647631442586</v>
      </c>
      <c r="J17" s="126">
        <v>1261.8541015285402</v>
      </c>
      <c r="K17" s="126">
        <v>1316.958657108771</v>
      </c>
      <c r="L17" s="126">
        <v>2866.92</v>
      </c>
      <c r="M17" s="23"/>
      <c r="N17" s="23"/>
      <c r="O17" s="23"/>
    </row>
    <row r="18" spans="1:15" ht="12.75">
      <c r="A18" s="94" t="s">
        <v>163</v>
      </c>
      <c r="B18" s="95">
        <v>21</v>
      </c>
      <c r="C18" s="126">
        <v>775.0275539396195</v>
      </c>
      <c r="D18" s="126">
        <v>803.2288838161345</v>
      </c>
      <c r="E18" s="126">
        <v>965.8350756867586</v>
      </c>
      <c r="F18" s="126">
        <v>1235.091256574066</v>
      </c>
      <c r="G18" s="126">
        <v>1543.8961337692228</v>
      </c>
      <c r="H18" s="126">
        <v>1235.211256574066</v>
      </c>
      <c r="I18" s="126">
        <v>1298.0905133409424</v>
      </c>
      <c r="J18" s="126">
        <v>1410.4663378729895</v>
      </c>
      <c r="K18" s="126">
        <v>1526.8177414479042</v>
      </c>
      <c r="L18" s="126">
        <v>2866.92</v>
      </c>
      <c r="M18" s="23"/>
      <c r="N18" s="23"/>
      <c r="O18" s="23"/>
    </row>
    <row r="19" spans="1:15" ht="12.75">
      <c r="A19" s="94" t="s">
        <v>164</v>
      </c>
      <c r="B19" s="95">
        <v>28</v>
      </c>
      <c r="C19" s="126">
        <v>826.6951396757685</v>
      </c>
      <c r="D19" s="126">
        <v>853.264060780091</v>
      </c>
      <c r="E19" s="126">
        <v>1030.432817375676</v>
      </c>
      <c r="F19" s="126">
        <v>1361.4092650818327</v>
      </c>
      <c r="G19" s="126">
        <v>1725.4147740070687</v>
      </c>
      <c r="H19" s="126">
        <v>1361.5492650818326</v>
      </c>
      <c r="I19" s="126">
        <v>1423.36560805053</v>
      </c>
      <c r="J19" s="126">
        <v>1556.2541374222947</v>
      </c>
      <c r="K19" s="126">
        <v>1664.314382911474</v>
      </c>
      <c r="L19" s="126">
        <v>2866.92</v>
      </c>
      <c r="M19" s="23"/>
      <c r="N19" s="23"/>
      <c r="O19" s="23"/>
    </row>
    <row r="20" spans="1:15" ht="12.75">
      <c r="A20" s="94" t="s">
        <v>165</v>
      </c>
      <c r="B20" s="95">
        <v>35</v>
      </c>
      <c r="C20" s="126">
        <v>862.9193991884741</v>
      </c>
      <c r="D20" s="126">
        <v>890.6373102408238</v>
      </c>
      <c r="E20" s="126">
        <v>1079.9415374405428</v>
      </c>
      <c r="F20" s="126">
        <v>1455.4864408200647</v>
      </c>
      <c r="G20" s="126">
        <v>1901.9931498534122</v>
      </c>
      <c r="H20" s="126">
        <v>1455.6164408200648</v>
      </c>
      <c r="I20" s="126">
        <v>1518.538735661865</v>
      </c>
      <c r="J20" s="126">
        <v>1664.314382911474</v>
      </c>
      <c r="K20" s="126">
        <v>1773.920961022998</v>
      </c>
      <c r="L20" s="126">
        <v>2866.92</v>
      </c>
      <c r="M20" s="23"/>
      <c r="N20" s="23"/>
      <c r="O20" s="23"/>
    </row>
    <row r="21" spans="1:15" ht="12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</row>
    <row r="22" spans="1:15" ht="15.75">
      <c r="A22" s="129" t="s">
        <v>211</v>
      </c>
      <c r="B22" s="129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</row>
    <row r="23" spans="1:15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23"/>
      <c r="N23" s="23"/>
      <c r="O23" s="23"/>
    </row>
    <row r="24" spans="1:15" ht="12.75">
      <c r="A24" s="120" t="s">
        <v>166</v>
      </c>
      <c r="B24" s="120"/>
      <c r="C24" s="121" t="s">
        <v>167</v>
      </c>
      <c r="D24" s="121" t="s">
        <v>167</v>
      </c>
      <c r="E24" s="121" t="s">
        <v>168</v>
      </c>
      <c r="F24" s="121" t="s">
        <v>169</v>
      </c>
      <c r="G24" s="121" t="s">
        <v>170</v>
      </c>
      <c r="H24" s="121" t="s">
        <v>171</v>
      </c>
      <c r="I24" s="121" t="s">
        <v>172</v>
      </c>
      <c r="J24" s="121" t="s">
        <v>171</v>
      </c>
      <c r="K24" s="121" t="s">
        <v>173</v>
      </c>
      <c r="L24" s="121" t="s">
        <v>208</v>
      </c>
      <c r="M24" s="23"/>
      <c r="N24" s="23"/>
      <c r="O24" s="23"/>
    </row>
    <row r="25" spans="1:15" ht="12.75">
      <c r="A25" s="120" t="s">
        <v>174</v>
      </c>
      <c r="B25" s="120" t="s">
        <v>207</v>
      </c>
      <c r="C25" s="121" t="s">
        <v>175</v>
      </c>
      <c r="D25" s="121" t="s">
        <v>175</v>
      </c>
      <c r="E25" s="121" t="s">
        <v>176</v>
      </c>
      <c r="F25" s="121" t="s">
        <v>177</v>
      </c>
      <c r="G25" s="121" t="s">
        <v>178</v>
      </c>
      <c r="H25" s="121" t="s">
        <v>179</v>
      </c>
      <c r="I25" s="121" t="s">
        <v>180</v>
      </c>
      <c r="J25" s="121" t="s">
        <v>181</v>
      </c>
      <c r="K25" s="121" t="s">
        <v>182</v>
      </c>
      <c r="L25" s="121" t="s">
        <v>209</v>
      </c>
      <c r="M25" s="23"/>
      <c r="N25" s="23"/>
      <c r="O25" s="23"/>
    </row>
    <row r="26" spans="1:15" ht="12.75">
      <c r="A26" s="122"/>
      <c r="B26" s="122"/>
      <c r="C26" s="123"/>
      <c r="D26" s="123" t="s">
        <v>183</v>
      </c>
      <c r="E26" s="123" t="s">
        <v>184</v>
      </c>
      <c r="F26" s="123" t="s">
        <v>185</v>
      </c>
      <c r="G26" s="123" t="s">
        <v>186</v>
      </c>
      <c r="H26" s="123" t="s">
        <v>187</v>
      </c>
      <c r="I26" s="123" t="s">
        <v>182</v>
      </c>
      <c r="J26" s="123"/>
      <c r="K26" s="123" t="s">
        <v>188</v>
      </c>
      <c r="L26" s="123"/>
      <c r="M26" s="23"/>
      <c r="N26" s="23"/>
      <c r="O26" s="23"/>
    </row>
    <row r="27" spans="1:15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27"/>
      <c r="L27" s="127"/>
      <c r="M27" s="23"/>
      <c r="N27" s="23"/>
      <c r="O27" s="23"/>
    </row>
    <row r="28" spans="1:15" ht="15" customHeight="1">
      <c r="A28" s="124" t="s">
        <v>189</v>
      </c>
      <c r="B28" s="124"/>
      <c r="C28" s="125">
        <v>517.26</v>
      </c>
      <c r="D28" s="125">
        <v>517.26</v>
      </c>
      <c r="E28" s="125">
        <v>523.34</v>
      </c>
      <c r="F28" s="125">
        <v>530.98</v>
      </c>
      <c r="G28" s="125">
        <v>553.45</v>
      </c>
      <c r="H28" s="125">
        <v>532.01</v>
      </c>
      <c r="I28" s="125">
        <v>532.01</v>
      </c>
      <c r="J28" s="125">
        <v>538.3</v>
      </c>
      <c r="K28" s="125">
        <v>538.3</v>
      </c>
      <c r="L28" s="125">
        <v>558.77</v>
      </c>
      <c r="M28" s="23"/>
      <c r="N28" s="23"/>
      <c r="O28" s="23"/>
    </row>
    <row r="29" spans="1:15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28"/>
      <c r="L29" s="128"/>
      <c r="M29" s="23"/>
      <c r="N29" s="23"/>
      <c r="O29" s="23"/>
    </row>
    <row r="30" spans="1:15" ht="12.75">
      <c r="A30" s="94" t="s">
        <v>159</v>
      </c>
      <c r="B30" s="95">
        <v>0</v>
      </c>
      <c r="C30" s="126">
        <v>568.5083333333333</v>
      </c>
      <c r="D30" s="126">
        <v>596.3366666666667</v>
      </c>
      <c r="E30" s="126">
        <v>692.9875</v>
      </c>
      <c r="F30" s="126">
        <v>859.7083333333334</v>
      </c>
      <c r="G30" s="126">
        <v>1054.6025</v>
      </c>
      <c r="H30" s="126">
        <v>859.9491666666667</v>
      </c>
      <c r="I30" s="126">
        <v>859.9491666666667</v>
      </c>
      <c r="J30" s="126">
        <v>972.43</v>
      </c>
      <c r="K30" s="126">
        <v>972.43</v>
      </c>
      <c r="L30" s="126">
        <v>2945.92</v>
      </c>
      <c r="M30" s="144">
        <f>VLOOKUP(E2,B30:L36,E1)</f>
        <v>1505.9066666666668</v>
      </c>
      <c r="N30" s="23"/>
      <c r="O30" s="23"/>
    </row>
    <row r="31" spans="1:15" ht="12.75">
      <c r="A31" s="94" t="s">
        <v>160</v>
      </c>
      <c r="B31" s="95">
        <v>3</v>
      </c>
      <c r="C31" s="126">
        <v>589.5941666666666</v>
      </c>
      <c r="D31" s="126">
        <v>616.8658333333334</v>
      </c>
      <c r="E31" s="126">
        <v>720.3225</v>
      </c>
      <c r="F31" s="126">
        <v>897.3033333333333</v>
      </c>
      <c r="G31" s="126">
        <v>1101.4166666666667</v>
      </c>
      <c r="H31" s="126">
        <v>897.5533333333333</v>
      </c>
      <c r="I31" s="126">
        <v>897.5533333333333</v>
      </c>
      <c r="J31" s="126">
        <v>1014.1416666666668</v>
      </c>
      <c r="K31" s="126">
        <v>1058.0183333333332</v>
      </c>
      <c r="L31" s="126">
        <v>2945.92</v>
      </c>
      <c r="M31" s="23"/>
      <c r="N31" s="23"/>
      <c r="O31" s="23"/>
    </row>
    <row r="32" spans="1:15" ht="12.75">
      <c r="A32" s="94" t="s">
        <v>161</v>
      </c>
      <c r="B32" s="95">
        <v>9</v>
      </c>
      <c r="C32" s="126">
        <v>666.0383333333333</v>
      </c>
      <c r="D32" s="126">
        <v>692.7741666666667</v>
      </c>
      <c r="E32" s="126">
        <v>817.9391666666667</v>
      </c>
      <c r="F32" s="126">
        <v>1013.1108333333333</v>
      </c>
      <c r="G32" s="126">
        <v>1246.49</v>
      </c>
      <c r="H32" s="126">
        <v>1013.3608333333333</v>
      </c>
      <c r="I32" s="126">
        <v>1013.3608333333333</v>
      </c>
      <c r="J32" s="126">
        <v>1150.455</v>
      </c>
      <c r="K32" s="126">
        <v>1194.9641666666666</v>
      </c>
      <c r="L32" s="126">
        <v>2945.92</v>
      </c>
      <c r="M32" s="23"/>
      <c r="N32" s="23"/>
      <c r="O32" s="23"/>
    </row>
    <row r="33" spans="1:15" ht="12.75">
      <c r="A33" s="94" t="s">
        <v>162</v>
      </c>
      <c r="B33" s="95">
        <v>15</v>
      </c>
      <c r="C33" s="126">
        <v>737.3791666666666</v>
      </c>
      <c r="D33" s="126">
        <v>764.105</v>
      </c>
      <c r="E33" s="126">
        <v>910.3883333333333</v>
      </c>
      <c r="F33" s="126">
        <v>1148.355</v>
      </c>
      <c r="G33" s="126">
        <v>1415.8016666666665</v>
      </c>
      <c r="H33" s="126">
        <v>1148.635</v>
      </c>
      <c r="I33" s="126">
        <v>1148.635</v>
      </c>
      <c r="J33" s="126">
        <v>1307.3941666666667</v>
      </c>
      <c r="K33" s="126">
        <v>1363.8983333333333</v>
      </c>
      <c r="L33" s="126">
        <v>2945.92</v>
      </c>
      <c r="M33" s="23"/>
      <c r="N33" s="23"/>
      <c r="O33" s="23"/>
    </row>
    <row r="34" spans="1:15" ht="12.75">
      <c r="A34" s="94" t="s">
        <v>163</v>
      </c>
      <c r="B34" s="95">
        <v>21</v>
      </c>
      <c r="C34" s="126">
        <v>807.6175</v>
      </c>
      <c r="D34" s="126">
        <v>836.5391666666666</v>
      </c>
      <c r="E34" s="126">
        <v>1003.395</v>
      </c>
      <c r="F34" s="126">
        <v>1279.6308333333334</v>
      </c>
      <c r="G34" s="126">
        <v>1596.9258333333335</v>
      </c>
      <c r="H34" s="126">
        <v>1279.9216666666666</v>
      </c>
      <c r="I34" s="126">
        <v>1344.3908333333334</v>
      </c>
      <c r="J34" s="126">
        <v>1459.7666666666667</v>
      </c>
      <c r="K34" s="126">
        <v>1579.0675</v>
      </c>
      <c r="L34" s="126">
        <v>2945.92</v>
      </c>
      <c r="M34" s="23"/>
      <c r="N34" s="23"/>
      <c r="O34" s="23"/>
    </row>
    <row r="35" spans="1:15" ht="12.75">
      <c r="A35" s="94" t="s">
        <v>164</v>
      </c>
      <c r="B35" s="95">
        <v>28</v>
      </c>
      <c r="C35" s="126">
        <v>860.595</v>
      </c>
      <c r="D35" s="126">
        <v>887.8341666666666</v>
      </c>
      <c r="E35" s="126">
        <v>1069.6225</v>
      </c>
      <c r="F35" s="126">
        <v>1409.1391666666666</v>
      </c>
      <c r="G35" s="126">
        <v>1783.025</v>
      </c>
      <c r="H35" s="126">
        <v>1409.4591666666665</v>
      </c>
      <c r="I35" s="126">
        <v>1472.8358333333333</v>
      </c>
      <c r="J35" s="126">
        <v>1609.2441666666666</v>
      </c>
      <c r="K35" s="126">
        <v>1720.0441666666666</v>
      </c>
      <c r="L35" s="126">
        <v>2945.92</v>
      </c>
      <c r="M35" s="23"/>
      <c r="N35" s="23"/>
      <c r="O35" s="23"/>
    </row>
    <row r="36" spans="1:15" ht="12.75">
      <c r="A36" s="94" t="s">
        <v>165</v>
      </c>
      <c r="B36" s="95">
        <v>35</v>
      </c>
      <c r="C36" s="126">
        <v>897.7291666666666</v>
      </c>
      <c r="D36" s="126">
        <v>926.1475</v>
      </c>
      <c r="E36" s="126">
        <v>1120.3816666666667</v>
      </c>
      <c r="F36" s="126">
        <v>1505.5866666666668</v>
      </c>
      <c r="G36" s="126">
        <v>1964.0533333333333</v>
      </c>
      <c r="H36" s="126">
        <v>1505.9066666666668</v>
      </c>
      <c r="I36" s="126">
        <v>1570.4183333333333</v>
      </c>
      <c r="J36" s="126">
        <v>1720.0441666666666</v>
      </c>
      <c r="K36" s="126">
        <v>1832.4208333333333</v>
      </c>
      <c r="L36" s="126">
        <v>2945.92</v>
      </c>
      <c r="M36" s="23"/>
      <c r="N36" s="23"/>
      <c r="O36" s="23"/>
    </row>
    <row r="37" spans="1:15" ht="12.7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</row>
    <row r="38" spans="1:15" ht="15.75">
      <c r="A38" s="129" t="s">
        <v>210</v>
      </c>
      <c r="B38" s="129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</row>
    <row r="39" spans="1:1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23"/>
      <c r="N39" s="23"/>
      <c r="O39" s="23"/>
    </row>
    <row r="40" spans="1:15" ht="12.75">
      <c r="A40" s="120" t="s">
        <v>166</v>
      </c>
      <c r="B40" s="120"/>
      <c r="C40" s="121" t="s">
        <v>167</v>
      </c>
      <c r="D40" s="121" t="s">
        <v>167</v>
      </c>
      <c r="E40" s="121" t="s">
        <v>168</v>
      </c>
      <c r="F40" s="121" t="s">
        <v>169</v>
      </c>
      <c r="G40" s="121" t="s">
        <v>170</v>
      </c>
      <c r="H40" s="121" t="s">
        <v>171</v>
      </c>
      <c r="I40" s="121" t="s">
        <v>172</v>
      </c>
      <c r="J40" s="121" t="s">
        <v>171</v>
      </c>
      <c r="K40" s="121" t="s">
        <v>173</v>
      </c>
      <c r="L40" s="121" t="s">
        <v>208</v>
      </c>
      <c r="M40" s="23"/>
      <c r="N40" s="23"/>
      <c r="O40" s="23"/>
    </row>
    <row r="41" spans="1:15" ht="12.75">
      <c r="A41" s="120" t="s">
        <v>174</v>
      </c>
      <c r="B41" s="120" t="s">
        <v>207</v>
      </c>
      <c r="C41" s="121" t="s">
        <v>175</v>
      </c>
      <c r="D41" s="121" t="s">
        <v>175</v>
      </c>
      <c r="E41" s="121" t="s">
        <v>176</v>
      </c>
      <c r="F41" s="121" t="s">
        <v>177</v>
      </c>
      <c r="G41" s="121" t="s">
        <v>178</v>
      </c>
      <c r="H41" s="121" t="s">
        <v>179</v>
      </c>
      <c r="I41" s="121" t="s">
        <v>180</v>
      </c>
      <c r="J41" s="121" t="s">
        <v>181</v>
      </c>
      <c r="K41" s="121" t="s">
        <v>182</v>
      </c>
      <c r="L41" s="121" t="s">
        <v>209</v>
      </c>
      <c r="M41" s="23"/>
      <c r="N41" s="23"/>
      <c r="O41" s="23"/>
    </row>
    <row r="42" spans="1:15" ht="12.75">
      <c r="A42" s="122"/>
      <c r="B42" s="122"/>
      <c r="C42" s="123"/>
      <c r="D42" s="123" t="s">
        <v>183</v>
      </c>
      <c r="E42" s="123" t="s">
        <v>184</v>
      </c>
      <c r="F42" s="123" t="s">
        <v>185</v>
      </c>
      <c r="G42" s="123" t="s">
        <v>186</v>
      </c>
      <c r="H42" s="123" t="s">
        <v>187</v>
      </c>
      <c r="I42" s="123" t="s">
        <v>182</v>
      </c>
      <c r="J42" s="123"/>
      <c r="K42" s="123" t="s">
        <v>188</v>
      </c>
      <c r="L42" s="123"/>
      <c r="M42" s="23"/>
      <c r="N42" s="23"/>
      <c r="O42" s="23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27"/>
      <c r="L43" s="127"/>
      <c r="M43" s="23"/>
      <c r="N43" s="23"/>
      <c r="O43" s="23"/>
    </row>
    <row r="44" spans="1:15" ht="12.75">
      <c r="A44" s="124" t="s">
        <v>189</v>
      </c>
      <c r="B44" s="124"/>
      <c r="C44" s="125">
        <v>517.26</v>
      </c>
      <c r="D44" s="125">
        <v>517.26</v>
      </c>
      <c r="E44" s="125">
        <v>523.34</v>
      </c>
      <c r="F44" s="125">
        <v>530.98</v>
      </c>
      <c r="G44" s="125">
        <v>553.45</v>
      </c>
      <c r="H44" s="125">
        <v>532.01</v>
      </c>
      <c r="I44" s="125">
        <v>532.01</v>
      </c>
      <c r="J44" s="125">
        <v>538.3</v>
      </c>
      <c r="K44" s="125">
        <v>538.3</v>
      </c>
      <c r="L44" s="125">
        <v>558.77</v>
      </c>
      <c r="M44" s="23"/>
      <c r="N44" s="23"/>
      <c r="O44" s="23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28"/>
      <c r="L45" s="128"/>
      <c r="M45" s="23"/>
      <c r="N45" s="23"/>
      <c r="O45" s="23"/>
    </row>
    <row r="46" spans="1:15" ht="12.75">
      <c r="A46" s="94" t="s">
        <v>159</v>
      </c>
      <c r="B46" s="95">
        <v>0</v>
      </c>
      <c r="C46" s="126">
        <v>591.4282898907005</v>
      </c>
      <c r="D46" s="126">
        <v>619.8467059690366</v>
      </c>
      <c r="E46" s="126">
        <v>718.6678055574206</v>
      </c>
      <c r="F46" s="126">
        <v>889.0688070534239</v>
      </c>
      <c r="G46" s="126">
        <v>1088.5526535039019</v>
      </c>
      <c r="H46" s="126">
        <v>893.5888070534241</v>
      </c>
      <c r="I46" s="126">
        <v>893.5888070534241</v>
      </c>
      <c r="J46" s="126">
        <v>1008.9401947903274</v>
      </c>
      <c r="K46" s="126">
        <v>1008.9401947903274</v>
      </c>
      <c r="L46" s="126">
        <v>3005.92</v>
      </c>
      <c r="M46" s="144">
        <f>VLOOKUP(E2,B46:L52,E1)</f>
        <v>1555.1664408200647</v>
      </c>
      <c r="N46" s="23"/>
      <c r="O46" s="23"/>
    </row>
    <row r="47" spans="1:15" ht="12.75">
      <c r="A47" s="94" t="s">
        <v>160</v>
      </c>
      <c r="B47" s="95">
        <v>3</v>
      </c>
      <c r="C47" s="126">
        <v>612.9640328053422</v>
      </c>
      <c r="D47" s="126">
        <v>640.8059919845889</v>
      </c>
      <c r="E47" s="126">
        <v>746.5828028115915</v>
      </c>
      <c r="F47" s="126">
        <v>927.4634473153709</v>
      </c>
      <c r="G47" s="126">
        <v>1136.3570610503702</v>
      </c>
      <c r="H47" s="126">
        <v>932.103447315371</v>
      </c>
      <c r="I47" s="126">
        <v>932.103447315371</v>
      </c>
      <c r="J47" s="126">
        <v>1051.6612998703692</v>
      </c>
      <c r="K47" s="126">
        <v>1096.5982325467694</v>
      </c>
      <c r="L47" s="126">
        <v>3005.92</v>
      </c>
      <c r="M47" s="23"/>
      <c r="N47" s="23"/>
      <c r="O47" s="23"/>
    </row>
    <row r="48" spans="1:15" ht="12.75">
      <c r="A48" s="94" t="s">
        <v>161</v>
      </c>
      <c r="B48" s="95">
        <v>9</v>
      </c>
      <c r="C48" s="126">
        <v>691.0183794271115</v>
      </c>
      <c r="D48" s="126">
        <v>718.3238817072688</v>
      </c>
      <c r="E48" s="126">
        <v>846.2589684978508</v>
      </c>
      <c r="F48" s="126">
        <v>1045.7109191211282</v>
      </c>
      <c r="G48" s="126">
        <v>1284.4901673320353</v>
      </c>
      <c r="H48" s="126">
        <v>1050.7109191211282</v>
      </c>
      <c r="I48" s="126">
        <v>1050.7109191211282</v>
      </c>
      <c r="J48" s="126">
        <v>1191.2750196167547</v>
      </c>
      <c r="K48" s="126">
        <v>1236.8544853420924</v>
      </c>
      <c r="L48" s="126">
        <v>3005.92</v>
      </c>
      <c r="M48" s="23"/>
      <c r="N48" s="23"/>
      <c r="O48" s="23"/>
    </row>
    <row r="49" spans="1:15" ht="12.75">
      <c r="A49" s="94" t="s">
        <v>162</v>
      </c>
      <c r="B49" s="95">
        <v>15</v>
      </c>
      <c r="C49" s="126">
        <v>763.8694235824549</v>
      </c>
      <c r="D49" s="126">
        <v>791.154925862612</v>
      </c>
      <c r="E49" s="126">
        <v>940.6587936427599</v>
      </c>
      <c r="F49" s="126">
        <v>1183.8147631442587</v>
      </c>
      <c r="G49" s="126">
        <v>1457.381681773031</v>
      </c>
      <c r="H49" s="126">
        <v>1189.2547631442585</v>
      </c>
      <c r="I49" s="126">
        <v>1189.2547631442585</v>
      </c>
      <c r="J49" s="126">
        <v>1352.0041015285403</v>
      </c>
      <c r="K49" s="126">
        <v>1409.878657108771</v>
      </c>
      <c r="L49" s="126">
        <v>3005.92</v>
      </c>
      <c r="M49" s="23"/>
      <c r="N49" s="23"/>
      <c r="O49" s="23"/>
    </row>
    <row r="50" spans="1:15" ht="12.75">
      <c r="A50" s="94" t="s">
        <v>163</v>
      </c>
      <c r="B50" s="95">
        <v>21</v>
      </c>
      <c r="C50" s="126">
        <v>835.5875539396194</v>
      </c>
      <c r="D50" s="126">
        <v>865.1188838161344</v>
      </c>
      <c r="E50" s="126">
        <v>1035.6250756867587</v>
      </c>
      <c r="F50" s="126">
        <v>1317.861256574066</v>
      </c>
      <c r="G50" s="126">
        <v>1642.326133769223</v>
      </c>
      <c r="H50" s="126">
        <v>1323.711256574066</v>
      </c>
      <c r="I50" s="126">
        <v>1389.7405133409422</v>
      </c>
      <c r="J50" s="126">
        <v>1508.0563378729894</v>
      </c>
      <c r="K50" s="126">
        <v>1630.2477414479042</v>
      </c>
      <c r="L50" s="126">
        <v>3005.92</v>
      </c>
      <c r="M50" s="23"/>
      <c r="N50" s="23"/>
      <c r="O50" s="23"/>
    </row>
    <row r="51" spans="1:15" ht="12.75">
      <c r="A51" s="94" t="s">
        <v>164</v>
      </c>
      <c r="B51" s="95">
        <v>28</v>
      </c>
      <c r="C51" s="126">
        <v>889.6851396757684</v>
      </c>
      <c r="D51" s="126">
        <v>917.5040607800911</v>
      </c>
      <c r="E51" s="126">
        <v>1103.252817375676</v>
      </c>
      <c r="F51" s="126">
        <v>1450.0992650818325</v>
      </c>
      <c r="G51" s="126">
        <v>1832.3547740070687</v>
      </c>
      <c r="H51" s="126">
        <v>1456.3792650818325</v>
      </c>
      <c r="I51" s="126">
        <v>1521.29560805053</v>
      </c>
      <c r="J51" s="126">
        <v>1661.1541374222945</v>
      </c>
      <c r="K51" s="126">
        <v>1774.6243829114737</v>
      </c>
      <c r="L51" s="126">
        <v>3005.92</v>
      </c>
      <c r="M51" s="23"/>
      <c r="N51" s="23"/>
      <c r="O51" s="23"/>
    </row>
    <row r="52" spans="1:15" ht="12.75">
      <c r="A52" s="94" t="s">
        <v>165</v>
      </c>
      <c r="B52" s="95">
        <v>35</v>
      </c>
      <c r="C52" s="126">
        <v>927.5993991884742</v>
      </c>
      <c r="D52" s="126">
        <v>956.6173102408238</v>
      </c>
      <c r="E52" s="126">
        <v>1155.081537440543</v>
      </c>
      <c r="F52" s="126">
        <v>1548.5864408200648</v>
      </c>
      <c r="G52" s="126">
        <v>2017.2031498534122</v>
      </c>
      <c r="H52" s="126">
        <v>1555.1664408200647</v>
      </c>
      <c r="I52" s="126">
        <v>1621.2287356618654</v>
      </c>
      <c r="J52" s="126">
        <v>1774.6243829114737</v>
      </c>
      <c r="K52" s="126">
        <v>1889.7209610229977</v>
      </c>
      <c r="L52" s="126">
        <v>3005.92</v>
      </c>
      <c r="M52" s="23"/>
      <c r="N52" s="23"/>
      <c r="O52" s="23"/>
    </row>
    <row r="53" spans="1:15" ht="12.7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1:15" ht="15.75">
      <c r="A54" s="129" t="s">
        <v>190</v>
      </c>
      <c r="B54" s="129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23"/>
      <c r="N55" s="23"/>
      <c r="O55" s="23"/>
    </row>
    <row r="56" spans="1:15" ht="12.75">
      <c r="A56" s="120" t="s">
        <v>166</v>
      </c>
      <c r="B56" s="120"/>
      <c r="C56" s="121" t="s">
        <v>167</v>
      </c>
      <c r="D56" s="121" t="s">
        <v>167</v>
      </c>
      <c r="E56" s="121" t="s">
        <v>168</v>
      </c>
      <c r="F56" s="121" t="s">
        <v>169</v>
      </c>
      <c r="G56" s="121" t="s">
        <v>170</v>
      </c>
      <c r="H56" s="121" t="s">
        <v>171</v>
      </c>
      <c r="I56" s="121" t="s">
        <v>172</v>
      </c>
      <c r="J56" s="121" t="s">
        <v>171</v>
      </c>
      <c r="K56" s="121" t="s">
        <v>173</v>
      </c>
      <c r="L56" s="121" t="s">
        <v>208</v>
      </c>
      <c r="M56" s="23"/>
      <c r="N56" s="23"/>
      <c r="O56" s="23"/>
    </row>
    <row r="57" spans="1:15" ht="12.75">
      <c r="A57" s="120" t="s">
        <v>174</v>
      </c>
      <c r="B57" s="120" t="s">
        <v>207</v>
      </c>
      <c r="C57" s="121" t="s">
        <v>175</v>
      </c>
      <c r="D57" s="121" t="s">
        <v>175</v>
      </c>
      <c r="E57" s="121" t="s">
        <v>176</v>
      </c>
      <c r="F57" s="121" t="s">
        <v>177</v>
      </c>
      <c r="G57" s="121" t="s">
        <v>178</v>
      </c>
      <c r="H57" s="121" t="s">
        <v>179</v>
      </c>
      <c r="I57" s="121" t="s">
        <v>180</v>
      </c>
      <c r="J57" s="121" t="s">
        <v>181</v>
      </c>
      <c r="K57" s="121" t="s">
        <v>182</v>
      </c>
      <c r="L57" s="121" t="s">
        <v>209</v>
      </c>
      <c r="M57" s="23"/>
      <c r="N57" s="23"/>
      <c r="O57" s="23"/>
    </row>
    <row r="58" spans="1:15" ht="12.75">
      <c r="A58" s="122"/>
      <c r="B58" s="122"/>
      <c r="C58" s="123"/>
      <c r="D58" s="123" t="s">
        <v>183</v>
      </c>
      <c r="E58" s="123" t="s">
        <v>184</v>
      </c>
      <c r="F58" s="123" t="s">
        <v>185</v>
      </c>
      <c r="G58" s="123" t="s">
        <v>186</v>
      </c>
      <c r="H58" s="123" t="s">
        <v>187</v>
      </c>
      <c r="I58" s="123" t="s">
        <v>182</v>
      </c>
      <c r="J58" s="123"/>
      <c r="K58" s="123" t="s">
        <v>188</v>
      </c>
      <c r="L58" s="123"/>
      <c r="M58" s="23"/>
      <c r="N58" s="23"/>
      <c r="O58" s="23"/>
    </row>
    <row r="59" spans="1:15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27"/>
      <c r="L59" s="127"/>
      <c r="M59" s="23"/>
      <c r="N59" s="23"/>
      <c r="O59" s="23"/>
    </row>
    <row r="60" spans="1:15" ht="12.75">
      <c r="A60" s="124" t="s">
        <v>189</v>
      </c>
      <c r="B60" s="124"/>
      <c r="C60" s="125">
        <v>517.26</v>
      </c>
      <c r="D60" s="125">
        <v>517.26</v>
      </c>
      <c r="E60" s="125">
        <v>523.34</v>
      </c>
      <c r="F60" s="125">
        <v>530.98</v>
      </c>
      <c r="G60" s="125">
        <v>553.45</v>
      </c>
      <c r="H60" s="125">
        <v>532.01</v>
      </c>
      <c r="I60" s="125">
        <v>532.01</v>
      </c>
      <c r="J60" s="125">
        <v>538.3</v>
      </c>
      <c r="K60" s="125">
        <v>538.3</v>
      </c>
      <c r="L60" s="125">
        <v>558.77</v>
      </c>
      <c r="M60" s="23"/>
      <c r="N60" s="23"/>
      <c r="O60" s="23"/>
    </row>
    <row r="61" spans="1:15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28"/>
      <c r="L61" s="128"/>
      <c r="M61" s="23"/>
      <c r="N61" s="23"/>
      <c r="O61" s="23"/>
    </row>
    <row r="62" spans="1:15" ht="12.75">
      <c r="A62" s="94" t="s">
        <v>159</v>
      </c>
      <c r="B62" s="95">
        <v>0</v>
      </c>
      <c r="C62" s="126">
        <v>621.0583333333333</v>
      </c>
      <c r="D62" s="126">
        <v>650.2366666666667</v>
      </c>
      <c r="E62" s="126">
        <v>751.8575</v>
      </c>
      <c r="F62" s="126">
        <v>927.0191666666667</v>
      </c>
      <c r="G62" s="126">
        <v>1132.4325</v>
      </c>
      <c r="H62" s="126">
        <v>933.1691666666667</v>
      </c>
      <c r="I62" s="126">
        <v>933.1691666666667</v>
      </c>
      <c r="J62" s="126">
        <v>1051.9</v>
      </c>
      <c r="K62" s="126">
        <v>1051.9</v>
      </c>
      <c r="L62" s="126">
        <v>3086.92</v>
      </c>
      <c r="M62" s="144">
        <f>VLOOKUP(E2,B62:L68,E1)</f>
        <v>1613.1166666666668</v>
      </c>
      <c r="N62" s="23"/>
      <c r="O62" s="23"/>
    </row>
    <row r="63" spans="1:15" ht="12.75">
      <c r="A63" s="94" t="s">
        <v>160</v>
      </c>
      <c r="B63" s="95">
        <v>3</v>
      </c>
      <c r="C63" s="126">
        <v>643.1741666666667</v>
      </c>
      <c r="D63" s="126">
        <v>671.7558333333335</v>
      </c>
      <c r="E63" s="126">
        <v>780.5225</v>
      </c>
      <c r="F63" s="126">
        <v>966.4433333333333</v>
      </c>
      <c r="G63" s="126">
        <v>1181.5166666666669</v>
      </c>
      <c r="H63" s="126">
        <v>972.7533333333332</v>
      </c>
      <c r="I63" s="126">
        <v>972.7533333333332</v>
      </c>
      <c r="J63" s="126">
        <v>1095.811666666667</v>
      </c>
      <c r="K63" s="126">
        <v>1141.9983333333332</v>
      </c>
      <c r="L63" s="126">
        <v>3086.92</v>
      </c>
      <c r="M63" s="23"/>
      <c r="N63" s="23"/>
      <c r="O63" s="23"/>
    </row>
    <row r="64" spans="1:15" ht="12.75">
      <c r="A64" s="94" t="s">
        <v>161</v>
      </c>
      <c r="B64" s="95">
        <v>9</v>
      </c>
      <c r="C64" s="126">
        <v>723.3083333333333</v>
      </c>
      <c r="D64" s="126">
        <v>751.3441666666666</v>
      </c>
      <c r="E64" s="126">
        <v>882.8591666666667</v>
      </c>
      <c r="F64" s="126">
        <v>1087.8508333333334</v>
      </c>
      <c r="G64" s="126">
        <v>1333.61</v>
      </c>
      <c r="H64" s="126">
        <v>1094.6608333333334</v>
      </c>
      <c r="I64" s="126">
        <v>1094.6608333333334</v>
      </c>
      <c r="J64" s="126">
        <v>1239.295</v>
      </c>
      <c r="K64" s="126">
        <v>1286.1441666666667</v>
      </c>
      <c r="L64" s="126">
        <v>3086.92</v>
      </c>
      <c r="M64" s="23"/>
      <c r="N64" s="23"/>
      <c r="O64" s="23"/>
    </row>
    <row r="65" spans="1:15" ht="12.75">
      <c r="A65" s="94" t="s">
        <v>162</v>
      </c>
      <c r="B65" s="95">
        <v>15</v>
      </c>
      <c r="C65" s="126">
        <v>798.1091666666666</v>
      </c>
      <c r="D65" s="126">
        <v>826.125</v>
      </c>
      <c r="E65" s="126">
        <v>979.7791666666667</v>
      </c>
      <c r="F65" s="126">
        <v>1229.645</v>
      </c>
      <c r="G65" s="126">
        <v>1511.1216666666664</v>
      </c>
      <c r="H65" s="126">
        <v>1237.045</v>
      </c>
      <c r="I65" s="126">
        <v>1237.045</v>
      </c>
      <c r="J65" s="126">
        <v>1404.4941666666666</v>
      </c>
      <c r="K65" s="126">
        <v>1463.9683333333332</v>
      </c>
      <c r="L65" s="126">
        <v>3086.92</v>
      </c>
      <c r="M65" s="23"/>
      <c r="N65" s="23"/>
      <c r="O65" s="23"/>
    </row>
    <row r="66" spans="1:15" ht="12.75">
      <c r="A66" s="94" t="s">
        <v>163</v>
      </c>
      <c r="B66" s="95">
        <v>21</v>
      </c>
      <c r="C66" s="126">
        <v>871.7375</v>
      </c>
      <c r="D66" s="126">
        <v>902.0591666666667</v>
      </c>
      <c r="E66" s="126">
        <v>1077.285</v>
      </c>
      <c r="F66" s="126">
        <v>1367.2716666666668</v>
      </c>
      <c r="G66" s="126">
        <v>1701.0058333333336</v>
      </c>
      <c r="H66" s="126">
        <v>1375.2416666666666</v>
      </c>
      <c r="I66" s="126">
        <v>1443.1008333333332</v>
      </c>
      <c r="J66" s="126">
        <v>1564.8766666666666</v>
      </c>
      <c r="K66" s="126">
        <v>1690.4575000000002</v>
      </c>
      <c r="L66" s="126">
        <v>3086.92</v>
      </c>
      <c r="M66" s="23"/>
      <c r="N66" s="23"/>
      <c r="O66" s="23"/>
    </row>
    <row r="67" spans="1:15" ht="12.75">
      <c r="A67" s="94" t="s">
        <v>164</v>
      </c>
      <c r="B67" s="95">
        <v>28</v>
      </c>
      <c r="C67" s="126">
        <v>927.285</v>
      </c>
      <c r="D67" s="126">
        <v>955.8441666666666</v>
      </c>
      <c r="E67" s="126">
        <v>1146.7225</v>
      </c>
      <c r="F67" s="126">
        <v>1503.0391666666667</v>
      </c>
      <c r="G67" s="126">
        <v>1896.115</v>
      </c>
      <c r="H67" s="126">
        <v>1511.5891666666666</v>
      </c>
      <c r="I67" s="126">
        <v>1578.3058333333333</v>
      </c>
      <c r="J67" s="126">
        <v>1722.2241666666666</v>
      </c>
      <c r="K67" s="126">
        <v>1838.8441666666665</v>
      </c>
      <c r="L67" s="126">
        <v>3086.92</v>
      </c>
      <c r="M67" s="23"/>
      <c r="N67" s="23"/>
      <c r="O67" s="23"/>
    </row>
    <row r="68" spans="1:15" ht="12.75">
      <c r="A68" s="94" t="s">
        <v>165</v>
      </c>
      <c r="B68" s="95">
        <v>35</v>
      </c>
      <c r="C68" s="126">
        <v>966.2091666666666</v>
      </c>
      <c r="D68" s="126">
        <v>996.0075</v>
      </c>
      <c r="E68" s="126">
        <v>1199.9416666666666</v>
      </c>
      <c r="F68" s="126">
        <v>1604.1666666666667</v>
      </c>
      <c r="G68" s="126">
        <v>2085.903333333333</v>
      </c>
      <c r="H68" s="126">
        <v>1613.1166666666668</v>
      </c>
      <c r="I68" s="126">
        <v>1681.0183333333332</v>
      </c>
      <c r="J68" s="126">
        <v>1838.8441666666665</v>
      </c>
      <c r="K68" s="126">
        <v>1957.1408333333334</v>
      </c>
      <c r="L68" s="126">
        <v>3086.92</v>
      </c>
      <c r="M68" s="23"/>
      <c r="N68" s="23"/>
      <c r="O68" s="23"/>
    </row>
    <row r="69" spans="1:15" ht="12.7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</row>
    <row r="70" spans="1:15" ht="15.75">
      <c r="A70" s="129" t="s">
        <v>201</v>
      </c>
      <c r="B70" s="129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</row>
    <row r="71" spans="1:15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23"/>
      <c r="N71" s="23"/>
      <c r="O71" s="23"/>
    </row>
    <row r="72" spans="1:15" ht="12.75">
      <c r="A72" s="120" t="s">
        <v>166</v>
      </c>
      <c r="B72" s="120"/>
      <c r="C72" s="121" t="s">
        <v>167</v>
      </c>
      <c r="D72" s="121" t="s">
        <v>167</v>
      </c>
      <c r="E72" s="121" t="s">
        <v>168</v>
      </c>
      <c r="F72" s="121" t="s">
        <v>169</v>
      </c>
      <c r="G72" s="121" t="s">
        <v>170</v>
      </c>
      <c r="H72" s="121" t="s">
        <v>171</v>
      </c>
      <c r="I72" s="121" t="s">
        <v>172</v>
      </c>
      <c r="J72" s="121" t="s">
        <v>171</v>
      </c>
      <c r="K72" s="121" t="s">
        <v>173</v>
      </c>
      <c r="L72" s="121" t="s">
        <v>208</v>
      </c>
      <c r="M72" s="23"/>
      <c r="N72" s="23"/>
      <c r="O72" s="23"/>
    </row>
    <row r="73" spans="1:15" ht="12.75">
      <c r="A73" s="120" t="s">
        <v>174</v>
      </c>
      <c r="B73" s="120" t="s">
        <v>207</v>
      </c>
      <c r="C73" s="121" t="s">
        <v>175</v>
      </c>
      <c r="D73" s="121" t="s">
        <v>175</v>
      </c>
      <c r="E73" s="121" t="s">
        <v>176</v>
      </c>
      <c r="F73" s="121" t="s">
        <v>177</v>
      </c>
      <c r="G73" s="121" t="s">
        <v>178</v>
      </c>
      <c r="H73" s="121" t="s">
        <v>179</v>
      </c>
      <c r="I73" s="121" t="s">
        <v>180</v>
      </c>
      <c r="J73" s="121" t="s">
        <v>181</v>
      </c>
      <c r="K73" s="121" t="s">
        <v>182</v>
      </c>
      <c r="L73" s="121" t="s">
        <v>209</v>
      </c>
      <c r="M73" s="23"/>
      <c r="N73" s="23"/>
      <c r="O73" s="23"/>
    </row>
    <row r="74" spans="1:15" ht="12.75">
      <c r="A74" s="122"/>
      <c r="B74" s="122"/>
      <c r="C74" s="123"/>
      <c r="D74" s="123" t="s">
        <v>183</v>
      </c>
      <c r="E74" s="123" t="s">
        <v>184</v>
      </c>
      <c r="F74" s="123" t="s">
        <v>185</v>
      </c>
      <c r="G74" s="123" t="s">
        <v>186</v>
      </c>
      <c r="H74" s="123" t="s">
        <v>187</v>
      </c>
      <c r="I74" s="123" t="s">
        <v>182</v>
      </c>
      <c r="J74" s="123"/>
      <c r="K74" s="123" t="s">
        <v>188</v>
      </c>
      <c r="L74" s="123"/>
      <c r="M74" s="23"/>
      <c r="N74" s="23"/>
      <c r="O74" s="23"/>
    </row>
    <row r="75" spans="1:15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27"/>
      <c r="L75" s="127"/>
      <c r="M75" s="23"/>
      <c r="N75" s="23"/>
      <c r="O75" s="23"/>
    </row>
    <row r="76" spans="1:15" ht="12.75">
      <c r="A76" s="124" t="s">
        <v>189</v>
      </c>
      <c r="B76" s="124"/>
      <c r="C76" s="125">
        <v>517.26</v>
      </c>
      <c r="D76" s="125">
        <v>517.26</v>
      </c>
      <c r="E76" s="125">
        <v>523.34</v>
      </c>
      <c r="F76" s="125">
        <v>530.98</v>
      </c>
      <c r="G76" s="125">
        <v>553.45</v>
      </c>
      <c r="H76" s="125">
        <v>532.01</v>
      </c>
      <c r="I76" s="125">
        <v>532.01</v>
      </c>
      <c r="J76" s="125">
        <v>538.3</v>
      </c>
      <c r="K76" s="125">
        <v>538.3</v>
      </c>
      <c r="L76" s="125">
        <v>558.77</v>
      </c>
      <c r="M76" s="23"/>
      <c r="N76" s="23"/>
      <c r="O76" s="23"/>
    </row>
    <row r="77" spans="1:15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28"/>
      <c r="L77" s="128"/>
      <c r="M77" s="23"/>
      <c r="N77" s="23"/>
      <c r="O77" s="23"/>
    </row>
    <row r="78" spans="1:15" ht="12.75">
      <c r="A78" s="94" t="s">
        <v>159</v>
      </c>
      <c r="B78" s="95">
        <v>0</v>
      </c>
      <c r="C78" s="126">
        <v>626.2782898907005</v>
      </c>
      <c r="D78" s="126">
        <v>655.5967059690367</v>
      </c>
      <c r="E78" s="126">
        <v>757.7078055574207</v>
      </c>
      <c r="F78" s="126">
        <v>933.708807053424</v>
      </c>
      <c r="G78" s="126">
        <v>1140.1726535039018</v>
      </c>
      <c r="H78" s="126">
        <v>939.958807053424</v>
      </c>
      <c r="I78" s="126">
        <v>939.958807053424</v>
      </c>
      <c r="J78" s="126">
        <v>1059.2701947903272</v>
      </c>
      <c r="K78" s="126">
        <v>1059.2701947903272</v>
      </c>
      <c r="L78" s="126">
        <v>3086.92</v>
      </c>
      <c r="M78" s="144">
        <f>VLOOKUP(E2,B78:L84,E1)</f>
        <v>1623.0564408200648</v>
      </c>
      <c r="N78" s="23"/>
      <c r="O78" s="23"/>
    </row>
    <row r="79" spans="1:15" ht="12.75">
      <c r="A79" s="94" t="s">
        <v>160</v>
      </c>
      <c r="B79" s="95">
        <v>3</v>
      </c>
      <c r="C79" s="126">
        <v>648.4940328053422</v>
      </c>
      <c r="D79" s="126">
        <v>677.2159919845889</v>
      </c>
      <c r="E79" s="126">
        <v>786.5028028115916</v>
      </c>
      <c r="F79" s="126">
        <v>973.3134473153709</v>
      </c>
      <c r="G79" s="126">
        <v>1189.4770610503704</v>
      </c>
      <c r="H79" s="126">
        <v>979.723447315371</v>
      </c>
      <c r="I79" s="126">
        <v>979.723447315371</v>
      </c>
      <c r="J79" s="126">
        <v>1103.3812998703693</v>
      </c>
      <c r="K79" s="126">
        <v>1149.7782325467692</v>
      </c>
      <c r="L79" s="126">
        <v>3086.92</v>
      </c>
      <c r="M79" s="23"/>
      <c r="N79" s="23"/>
      <c r="O79" s="23"/>
    </row>
    <row r="80" spans="1:15" ht="12.75">
      <c r="A80" s="94" t="s">
        <v>161</v>
      </c>
      <c r="B80" s="95">
        <v>9</v>
      </c>
      <c r="C80" s="126">
        <v>728.9983794271116</v>
      </c>
      <c r="D80" s="126">
        <v>757.1638817072688</v>
      </c>
      <c r="E80" s="126">
        <v>889.308968497851</v>
      </c>
      <c r="F80" s="126">
        <v>1095.2809191211281</v>
      </c>
      <c r="G80" s="126">
        <v>1342.2701673320355</v>
      </c>
      <c r="H80" s="126">
        <v>1102.190919121128</v>
      </c>
      <c r="I80" s="126">
        <v>1102.190919121128</v>
      </c>
      <c r="J80" s="126">
        <v>1247.5250196167547</v>
      </c>
      <c r="K80" s="126">
        <v>1294.5944853420924</v>
      </c>
      <c r="L80" s="126">
        <v>3086.92</v>
      </c>
      <c r="M80" s="23"/>
      <c r="N80" s="23"/>
      <c r="O80" s="23"/>
    </row>
    <row r="81" spans="1:15" ht="12.75">
      <c r="A81" s="94" t="s">
        <v>162</v>
      </c>
      <c r="B81" s="95">
        <v>15</v>
      </c>
      <c r="C81" s="126">
        <v>804.1494235824548</v>
      </c>
      <c r="D81" s="126">
        <v>832.284925862612</v>
      </c>
      <c r="E81" s="126">
        <v>986.6787936427598</v>
      </c>
      <c r="F81" s="126">
        <v>1237.7247631442585</v>
      </c>
      <c r="G81" s="126">
        <v>1520.591681773031</v>
      </c>
      <c r="H81" s="126">
        <v>1245.2347631442585</v>
      </c>
      <c r="I81" s="126">
        <v>1245.2347631442585</v>
      </c>
      <c r="J81" s="126">
        <v>1413.4941015285403</v>
      </c>
      <c r="K81" s="126">
        <v>1473.2386571087711</v>
      </c>
      <c r="L81" s="126">
        <v>3086.92</v>
      </c>
      <c r="M81" s="23"/>
      <c r="N81" s="23"/>
      <c r="O81" s="23"/>
    </row>
    <row r="82" spans="1:15" ht="12.75">
      <c r="A82" s="94" t="s">
        <v>163</v>
      </c>
      <c r="B82" s="95">
        <v>21</v>
      </c>
      <c r="C82" s="126">
        <v>878.1075539396194</v>
      </c>
      <c r="D82" s="126">
        <v>908.5688838161344</v>
      </c>
      <c r="E82" s="126">
        <v>1084.6250756867585</v>
      </c>
      <c r="F82" s="126">
        <v>1375.9812565740658</v>
      </c>
      <c r="G82" s="126">
        <v>1711.3561337692229</v>
      </c>
      <c r="H82" s="126">
        <v>1384.071256574066</v>
      </c>
      <c r="I82" s="126">
        <v>1452.2505133409425</v>
      </c>
      <c r="J82" s="126">
        <v>1574.6163378729893</v>
      </c>
      <c r="K82" s="126">
        <v>1700.7777414479042</v>
      </c>
      <c r="L82" s="126">
        <v>3086.92</v>
      </c>
      <c r="M82" s="23"/>
      <c r="N82" s="23"/>
      <c r="O82" s="23"/>
    </row>
    <row r="83" spans="1:15" ht="12.75">
      <c r="A83" s="94" t="s">
        <v>164</v>
      </c>
      <c r="B83" s="95">
        <v>28</v>
      </c>
      <c r="C83" s="126">
        <v>933.9151396757684</v>
      </c>
      <c r="D83" s="126">
        <v>962.6040607800911</v>
      </c>
      <c r="E83" s="126">
        <v>1154.382817375676</v>
      </c>
      <c r="F83" s="126">
        <v>1512.3692650818323</v>
      </c>
      <c r="G83" s="126">
        <v>1907.3547740070685</v>
      </c>
      <c r="H83" s="126">
        <v>1521.0592650818326</v>
      </c>
      <c r="I83" s="126">
        <v>1588.07560805053</v>
      </c>
      <c r="J83" s="126">
        <v>1732.6941374222947</v>
      </c>
      <c r="K83" s="126">
        <v>1849.8543829114737</v>
      </c>
      <c r="L83" s="126">
        <v>3086.92</v>
      </c>
      <c r="M83" s="23"/>
      <c r="N83" s="23"/>
      <c r="O83" s="23"/>
    </row>
    <row r="84" spans="1:15" ht="12.75">
      <c r="A84" s="94" t="s">
        <v>165</v>
      </c>
      <c r="B84" s="95">
        <v>35</v>
      </c>
      <c r="C84" s="126">
        <v>973.019399188474</v>
      </c>
      <c r="D84" s="126">
        <v>1002.9473102408239</v>
      </c>
      <c r="E84" s="126">
        <v>1207.8515374405429</v>
      </c>
      <c r="F84" s="126">
        <v>1613.9664408200647</v>
      </c>
      <c r="G84" s="126">
        <v>2098.0131498534124</v>
      </c>
      <c r="H84" s="126">
        <v>1623.0564408200648</v>
      </c>
      <c r="I84" s="126">
        <v>1691.2687356618653</v>
      </c>
      <c r="J84" s="126">
        <v>1849.8543829114737</v>
      </c>
      <c r="K84" s="126">
        <v>1968.7009610229977</v>
      </c>
      <c r="L84" s="126">
        <v>3086.92</v>
      </c>
      <c r="M84" s="23"/>
      <c r="N84" s="23"/>
      <c r="O84" s="23"/>
    </row>
    <row r="85" spans="1:15" ht="12.7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</row>
    <row r="86" spans="1:15" ht="15.75">
      <c r="A86" s="129" t="s">
        <v>225</v>
      </c>
      <c r="B86" s="129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</row>
    <row r="87" spans="1:15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23"/>
      <c r="N87" s="23"/>
      <c r="O87" s="23"/>
    </row>
    <row r="88" spans="1:15" ht="12.75">
      <c r="A88" s="120" t="s">
        <v>166</v>
      </c>
      <c r="B88" s="120"/>
      <c r="C88" s="121" t="s">
        <v>167</v>
      </c>
      <c r="D88" s="121" t="s">
        <v>167</v>
      </c>
      <c r="E88" s="121" t="s">
        <v>168</v>
      </c>
      <c r="F88" s="121" t="s">
        <v>169</v>
      </c>
      <c r="G88" s="121" t="s">
        <v>170</v>
      </c>
      <c r="H88" s="121" t="s">
        <v>171</v>
      </c>
      <c r="I88" s="121" t="s">
        <v>172</v>
      </c>
      <c r="J88" s="121" t="s">
        <v>171</v>
      </c>
      <c r="K88" s="121" t="s">
        <v>173</v>
      </c>
      <c r="L88" s="121" t="s">
        <v>208</v>
      </c>
      <c r="M88" s="23"/>
      <c r="N88" s="23"/>
      <c r="O88" s="23"/>
    </row>
    <row r="89" spans="1:15" ht="12.75">
      <c r="A89" s="120" t="s">
        <v>174</v>
      </c>
      <c r="B89" s="120" t="s">
        <v>207</v>
      </c>
      <c r="C89" s="121" t="s">
        <v>175</v>
      </c>
      <c r="D89" s="121" t="s">
        <v>175</v>
      </c>
      <c r="E89" s="121" t="s">
        <v>176</v>
      </c>
      <c r="F89" s="121" t="s">
        <v>177</v>
      </c>
      <c r="G89" s="121" t="s">
        <v>178</v>
      </c>
      <c r="H89" s="121" t="s">
        <v>179</v>
      </c>
      <c r="I89" s="121" t="s">
        <v>180</v>
      </c>
      <c r="J89" s="121" t="s">
        <v>181</v>
      </c>
      <c r="K89" s="121" t="s">
        <v>182</v>
      </c>
      <c r="L89" s="121" t="s">
        <v>209</v>
      </c>
      <c r="M89" s="23"/>
      <c r="N89" s="23"/>
      <c r="O89" s="23"/>
    </row>
    <row r="90" spans="1:15" ht="12.75">
      <c r="A90" s="122"/>
      <c r="B90" s="122"/>
      <c r="C90" s="123"/>
      <c r="D90" s="123" t="s">
        <v>183</v>
      </c>
      <c r="E90" s="123" t="s">
        <v>184</v>
      </c>
      <c r="F90" s="123" t="s">
        <v>185</v>
      </c>
      <c r="G90" s="123" t="s">
        <v>186</v>
      </c>
      <c r="H90" s="123" t="s">
        <v>187</v>
      </c>
      <c r="I90" s="123" t="s">
        <v>182</v>
      </c>
      <c r="J90" s="123"/>
      <c r="K90" s="123" t="s">
        <v>188</v>
      </c>
      <c r="L90" s="123"/>
      <c r="M90" s="23"/>
      <c r="N90" s="23"/>
      <c r="O90" s="23"/>
    </row>
    <row r="91" spans="1:15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27"/>
      <c r="L91" s="127"/>
      <c r="M91" s="23"/>
      <c r="N91" s="23"/>
      <c r="O91" s="23"/>
    </row>
    <row r="92" spans="1:15" ht="12.75">
      <c r="A92" s="124" t="s">
        <v>189</v>
      </c>
      <c r="B92" s="124"/>
      <c r="C92" s="125">
        <v>517.26</v>
      </c>
      <c r="D92" s="125">
        <v>517.26</v>
      </c>
      <c r="E92" s="125">
        <v>523.34</v>
      </c>
      <c r="F92" s="125">
        <v>530.98</v>
      </c>
      <c r="G92" s="125">
        <v>553.45</v>
      </c>
      <c r="H92" s="125">
        <v>532.01</v>
      </c>
      <c r="I92" s="125">
        <v>532.01</v>
      </c>
      <c r="J92" s="125">
        <v>538.3</v>
      </c>
      <c r="K92" s="125">
        <v>538.3</v>
      </c>
      <c r="L92" s="125">
        <v>558.77</v>
      </c>
      <c r="M92" s="23"/>
      <c r="N92" s="23"/>
      <c r="O92" s="23"/>
    </row>
    <row r="93" spans="1:15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28"/>
      <c r="L93" s="128"/>
      <c r="M93" s="23"/>
      <c r="N93" s="23"/>
      <c r="O93" s="23"/>
    </row>
    <row r="94" spans="1:15" ht="12.75">
      <c r="A94" s="94" t="s">
        <v>159</v>
      </c>
      <c r="B94" s="95">
        <v>0</v>
      </c>
      <c r="C94" s="126">
        <v>647.8483333333334</v>
      </c>
      <c r="D94" s="126">
        <v>677.7066666666666</v>
      </c>
      <c r="E94" s="126">
        <v>781.8675</v>
      </c>
      <c r="F94" s="126">
        <v>961.3291666666668</v>
      </c>
      <c r="G94" s="126">
        <v>1172.1025</v>
      </c>
      <c r="H94" s="126">
        <v>967.9691666666666</v>
      </c>
      <c r="I94" s="126">
        <v>967.9691666666666</v>
      </c>
      <c r="J94" s="126">
        <v>1089.67</v>
      </c>
      <c r="K94" s="126">
        <v>1089.67</v>
      </c>
      <c r="L94" s="126">
        <v>3086.92</v>
      </c>
      <c r="M94" s="144">
        <f>VLOOKUP(E2,B94:L100,E1)</f>
        <v>1664.0666666666666</v>
      </c>
      <c r="N94" s="23"/>
      <c r="O94" s="23"/>
    </row>
    <row r="95" spans="1:15" ht="12.75">
      <c r="A95" s="94" t="s">
        <v>160</v>
      </c>
      <c r="B95" s="95">
        <v>3</v>
      </c>
      <c r="C95" s="126">
        <v>670.4841666666667</v>
      </c>
      <c r="D95" s="126">
        <v>699.7358333333333</v>
      </c>
      <c r="E95" s="126">
        <v>811.2025</v>
      </c>
      <c r="F95" s="126">
        <v>1001.6833333333334</v>
      </c>
      <c r="G95" s="126">
        <v>1222.3466666666666</v>
      </c>
      <c r="H95" s="126">
        <v>1008.4933333333333</v>
      </c>
      <c r="I95" s="126">
        <v>1008.4933333333333</v>
      </c>
      <c r="J95" s="126">
        <v>1134.6316666666667</v>
      </c>
      <c r="K95" s="126">
        <v>1181.9083333333333</v>
      </c>
      <c r="L95" s="126">
        <v>3086.92</v>
      </c>
      <c r="M95" s="23"/>
      <c r="N95" s="23"/>
      <c r="O95" s="23"/>
    </row>
    <row r="96" spans="1:15" ht="12.75">
      <c r="A96" s="94" t="s">
        <v>161</v>
      </c>
      <c r="B96" s="95">
        <v>9</v>
      </c>
      <c r="C96" s="126">
        <v>752.4983333333333</v>
      </c>
      <c r="D96" s="126">
        <v>781.1941666666667</v>
      </c>
      <c r="E96" s="126">
        <v>915.9491666666667</v>
      </c>
      <c r="F96" s="126">
        <v>1125.9408333333333</v>
      </c>
      <c r="G96" s="126">
        <v>1378.02</v>
      </c>
      <c r="H96" s="126">
        <v>1133.3008333333335</v>
      </c>
      <c r="I96" s="126">
        <v>1133.3008333333335</v>
      </c>
      <c r="J96" s="126">
        <v>1281.515</v>
      </c>
      <c r="K96" s="126">
        <v>1329.4841666666666</v>
      </c>
      <c r="L96" s="126">
        <v>3086.92</v>
      </c>
      <c r="M96" s="23"/>
      <c r="N96" s="23"/>
      <c r="O96" s="23"/>
    </row>
    <row r="97" spans="1:15" ht="12.75">
      <c r="A97" s="94" t="s">
        <v>162</v>
      </c>
      <c r="B97" s="95">
        <v>15</v>
      </c>
      <c r="C97" s="126">
        <v>829.0591666666666</v>
      </c>
      <c r="D97" s="126">
        <v>857.735</v>
      </c>
      <c r="E97" s="126">
        <v>1015.1491666666667</v>
      </c>
      <c r="F97" s="126">
        <v>1271.075</v>
      </c>
      <c r="G97" s="126">
        <v>1559.7016666666666</v>
      </c>
      <c r="H97" s="126">
        <v>1279.065</v>
      </c>
      <c r="I97" s="126">
        <v>1279.065</v>
      </c>
      <c r="J97" s="126">
        <v>1450.6441666666667</v>
      </c>
      <c r="K97" s="126">
        <v>1511.5283333333334</v>
      </c>
      <c r="L97" s="126">
        <v>3086.92</v>
      </c>
      <c r="M97" s="23"/>
      <c r="N97" s="23"/>
      <c r="O97" s="23"/>
    </row>
    <row r="98" spans="1:15" ht="12.75">
      <c r="A98" s="94" t="s">
        <v>163</v>
      </c>
      <c r="B98" s="95">
        <v>21</v>
      </c>
      <c r="C98" s="126">
        <v>904.4275</v>
      </c>
      <c r="D98" s="126">
        <v>935.4591666666666</v>
      </c>
      <c r="E98" s="126">
        <v>1114.955</v>
      </c>
      <c r="F98" s="126">
        <v>1411.9416666666666</v>
      </c>
      <c r="G98" s="126">
        <v>1754.055833333333</v>
      </c>
      <c r="H98" s="126">
        <v>1420.5416666666667</v>
      </c>
      <c r="I98" s="126">
        <v>1490.0208333333333</v>
      </c>
      <c r="J98" s="126">
        <v>1614.8366666666668</v>
      </c>
      <c r="K98" s="126">
        <v>1743.3975</v>
      </c>
      <c r="L98" s="126">
        <v>3086.92</v>
      </c>
      <c r="M98" s="23"/>
      <c r="N98" s="23"/>
      <c r="O98" s="23"/>
    </row>
    <row r="99" spans="1:15" ht="12.75">
      <c r="A99" s="94" t="s">
        <v>164</v>
      </c>
      <c r="B99" s="95">
        <v>28</v>
      </c>
      <c r="C99" s="126">
        <v>961.275</v>
      </c>
      <c r="D99" s="126">
        <v>990.5141666666667</v>
      </c>
      <c r="E99" s="126">
        <v>1186.0225</v>
      </c>
      <c r="F99" s="126">
        <v>1550.9091666666666</v>
      </c>
      <c r="G99" s="126">
        <v>1953.755</v>
      </c>
      <c r="H99" s="126">
        <v>1560.1291666666666</v>
      </c>
      <c r="I99" s="126">
        <v>1628.4358333333332</v>
      </c>
      <c r="J99" s="126">
        <v>1775.9241666666667</v>
      </c>
      <c r="K99" s="126">
        <v>1895.3141666666668</v>
      </c>
      <c r="L99" s="126">
        <v>3086.92</v>
      </c>
      <c r="M99" s="23"/>
      <c r="N99" s="23"/>
      <c r="O99" s="23"/>
    </row>
    <row r="100" spans="1:15" ht="12.75">
      <c r="A100" s="94" t="s">
        <v>165</v>
      </c>
      <c r="B100" s="95">
        <v>35</v>
      </c>
      <c r="C100" s="126">
        <v>1001.1191666666667</v>
      </c>
      <c r="D100" s="126">
        <v>1031.6175</v>
      </c>
      <c r="E100" s="126">
        <v>1240.4916666666666</v>
      </c>
      <c r="F100" s="126">
        <v>1654.4066666666668</v>
      </c>
      <c r="G100" s="126">
        <v>2148.0133333333333</v>
      </c>
      <c r="H100" s="126">
        <v>1664.0666666666666</v>
      </c>
      <c r="I100" s="126">
        <v>1733.5883333333334</v>
      </c>
      <c r="J100" s="126">
        <v>1895.3141666666668</v>
      </c>
      <c r="K100" s="126">
        <v>2016.4208333333333</v>
      </c>
      <c r="L100" s="126">
        <v>3086.92</v>
      </c>
      <c r="M100" s="23"/>
      <c r="N100" s="23"/>
      <c r="O100" s="23"/>
    </row>
    <row r="101" spans="1:15" ht="12.75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</row>
    <row r="102" spans="1:15" ht="15.75">
      <c r="A102" s="129" t="s">
        <v>200</v>
      </c>
      <c r="B102" s="129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</row>
    <row r="103" spans="1:15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23"/>
      <c r="N103" s="23"/>
      <c r="O103" s="23"/>
    </row>
    <row r="104" spans="1:15" ht="12.75">
      <c r="A104" s="120" t="s">
        <v>166</v>
      </c>
      <c r="B104" s="120"/>
      <c r="C104" s="121" t="s">
        <v>167</v>
      </c>
      <c r="D104" s="121" t="s">
        <v>167</v>
      </c>
      <c r="E104" s="121" t="s">
        <v>168</v>
      </c>
      <c r="F104" s="121" t="s">
        <v>169</v>
      </c>
      <c r="G104" s="121" t="s">
        <v>170</v>
      </c>
      <c r="H104" s="121" t="s">
        <v>171</v>
      </c>
      <c r="I104" s="121" t="s">
        <v>172</v>
      </c>
      <c r="J104" s="121" t="s">
        <v>171</v>
      </c>
      <c r="K104" s="121" t="s">
        <v>173</v>
      </c>
      <c r="L104" s="121" t="s">
        <v>208</v>
      </c>
      <c r="M104" s="23"/>
      <c r="N104" s="23"/>
      <c r="O104" s="23"/>
    </row>
    <row r="105" spans="1:15" ht="12.75">
      <c r="A105" s="120" t="s">
        <v>174</v>
      </c>
      <c r="B105" s="120" t="s">
        <v>207</v>
      </c>
      <c r="C105" s="121" t="s">
        <v>175</v>
      </c>
      <c r="D105" s="121" t="s">
        <v>175</v>
      </c>
      <c r="E105" s="121" t="s">
        <v>176</v>
      </c>
      <c r="F105" s="121" t="s">
        <v>177</v>
      </c>
      <c r="G105" s="121" t="s">
        <v>178</v>
      </c>
      <c r="H105" s="121" t="s">
        <v>179</v>
      </c>
      <c r="I105" s="121" t="s">
        <v>180</v>
      </c>
      <c r="J105" s="121" t="s">
        <v>181</v>
      </c>
      <c r="K105" s="121" t="s">
        <v>182</v>
      </c>
      <c r="L105" s="121" t="s">
        <v>209</v>
      </c>
      <c r="M105" s="23"/>
      <c r="N105" s="23"/>
      <c r="O105" s="23"/>
    </row>
    <row r="106" spans="1:15" ht="12.75">
      <c r="A106" s="122"/>
      <c r="B106" s="122"/>
      <c r="C106" s="123"/>
      <c r="D106" s="123" t="s">
        <v>183</v>
      </c>
      <c r="E106" s="123" t="s">
        <v>184</v>
      </c>
      <c r="F106" s="123" t="s">
        <v>185</v>
      </c>
      <c r="G106" s="123" t="s">
        <v>186</v>
      </c>
      <c r="H106" s="123" t="s">
        <v>187</v>
      </c>
      <c r="I106" s="123" t="s">
        <v>182</v>
      </c>
      <c r="J106" s="123"/>
      <c r="K106" s="123" t="s">
        <v>188</v>
      </c>
      <c r="L106" s="123"/>
      <c r="M106" s="23"/>
      <c r="N106" s="23"/>
      <c r="O106" s="23"/>
    </row>
    <row r="107" spans="1:15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27"/>
      <c r="L107" s="127"/>
      <c r="M107" s="23"/>
      <c r="N107" s="23"/>
      <c r="O107" s="23"/>
    </row>
    <row r="108" spans="1:15" ht="12.75">
      <c r="A108" s="124" t="s">
        <v>189</v>
      </c>
      <c r="B108" s="124"/>
      <c r="C108" s="125">
        <v>517.26</v>
      </c>
      <c r="D108" s="125">
        <v>517.26</v>
      </c>
      <c r="E108" s="125">
        <v>523.34</v>
      </c>
      <c r="F108" s="125">
        <v>530.98</v>
      </c>
      <c r="G108" s="125">
        <v>553.45</v>
      </c>
      <c r="H108" s="125">
        <v>532.01</v>
      </c>
      <c r="I108" s="125">
        <v>532.01</v>
      </c>
      <c r="J108" s="125">
        <v>538.3</v>
      </c>
      <c r="K108" s="125">
        <v>538.3</v>
      </c>
      <c r="L108" s="125">
        <v>558.77</v>
      </c>
      <c r="M108" s="23"/>
      <c r="N108" s="23"/>
      <c r="O108" s="23"/>
    </row>
    <row r="109" spans="1:15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28"/>
      <c r="L109" s="128"/>
      <c r="M109" s="23"/>
      <c r="N109" s="23"/>
      <c r="O109" s="23"/>
    </row>
    <row r="110" spans="1:15" ht="12.75">
      <c r="A110" s="94" t="s">
        <v>159</v>
      </c>
      <c r="B110" s="95">
        <v>0</v>
      </c>
      <c r="C110" s="126">
        <v>679.3182898907005</v>
      </c>
      <c r="D110" s="126">
        <v>709.9967059690367</v>
      </c>
      <c r="E110" s="126">
        <v>817.1278055574206</v>
      </c>
      <c r="F110" s="126">
        <v>1001.638807053424</v>
      </c>
      <c r="G110" s="126">
        <v>1218.7226535039017</v>
      </c>
      <c r="H110" s="126">
        <v>1008.8688070534241</v>
      </c>
      <c r="I110" s="126">
        <v>1008.8688070534241</v>
      </c>
      <c r="J110" s="126">
        <v>1134.0601947903274</v>
      </c>
      <c r="K110" s="126">
        <v>1134.0601947903274</v>
      </c>
      <c r="L110" s="126">
        <v>3086.92</v>
      </c>
      <c r="M110" s="144">
        <f>VLOOKUP(E2,B110:L116,E1)</f>
        <v>1723.9464408200647</v>
      </c>
      <c r="N110" s="23"/>
      <c r="O110" s="23"/>
    </row>
    <row r="111" spans="1:15" ht="12.75">
      <c r="A111" s="94" t="s">
        <v>160</v>
      </c>
      <c r="B111" s="95">
        <v>3</v>
      </c>
      <c r="C111" s="126">
        <v>702.5640328053421</v>
      </c>
      <c r="D111" s="126">
        <v>732.6159919845888</v>
      </c>
      <c r="E111" s="126">
        <v>847.2628028115915</v>
      </c>
      <c r="F111" s="126">
        <v>1043.083447315371</v>
      </c>
      <c r="G111" s="126">
        <v>1270.3170610503703</v>
      </c>
      <c r="H111" s="126">
        <v>1050.493447315371</v>
      </c>
      <c r="I111" s="126">
        <v>1050.493447315371</v>
      </c>
      <c r="J111" s="126">
        <v>1180.2312998703694</v>
      </c>
      <c r="K111" s="126">
        <v>1228.8082325467692</v>
      </c>
      <c r="L111" s="126">
        <v>3086.92</v>
      </c>
      <c r="M111" s="23"/>
      <c r="N111" s="23"/>
      <c r="O111" s="23"/>
    </row>
    <row r="112" spans="1:15" ht="12.75">
      <c r="A112" s="94" t="s">
        <v>161</v>
      </c>
      <c r="B112" s="95">
        <v>9</v>
      </c>
      <c r="C112" s="126">
        <v>786.8083794271115</v>
      </c>
      <c r="D112" s="126">
        <v>816.2738817072689</v>
      </c>
      <c r="E112" s="126">
        <v>954.828968497851</v>
      </c>
      <c r="F112" s="126">
        <v>1170.710919121128</v>
      </c>
      <c r="G112" s="126">
        <v>1430.2001673320353</v>
      </c>
      <c r="H112" s="126">
        <v>1178.700919121128</v>
      </c>
      <c r="I112" s="126">
        <v>1178.700919121128</v>
      </c>
      <c r="J112" s="126">
        <v>1331.1350196167546</v>
      </c>
      <c r="K112" s="126">
        <v>1380.4044853420924</v>
      </c>
      <c r="L112" s="126">
        <v>3086.92</v>
      </c>
      <c r="M112" s="23"/>
      <c r="N112" s="23"/>
      <c r="O112" s="23"/>
    </row>
    <row r="113" spans="1:15" ht="12.75">
      <c r="A113" s="94" t="s">
        <v>162</v>
      </c>
      <c r="B113" s="95">
        <v>15</v>
      </c>
      <c r="C113" s="126">
        <v>865.4294235824548</v>
      </c>
      <c r="D113" s="126">
        <v>894.884925862612</v>
      </c>
      <c r="E113" s="126">
        <v>1056.70879364276</v>
      </c>
      <c r="F113" s="126">
        <v>1319.7547631442585</v>
      </c>
      <c r="G113" s="126">
        <v>1616.791681773031</v>
      </c>
      <c r="H113" s="126">
        <v>1328.4447631442586</v>
      </c>
      <c r="I113" s="126">
        <v>1328.4447631442586</v>
      </c>
      <c r="J113" s="126">
        <v>1504.8641015285402</v>
      </c>
      <c r="K113" s="126">
        <v>1567.4086571087712</v>
      </c>
      <c r="L113" s="126">
        <v>3086.92</v>
      </c>
      <c r="M113" s="23"/>
      <c r="N113" s="23"/>
      <c r="O113" s="23"/>
    </row>
    <row r="114" spans="1:15" ht="12.75">
      <c r="A114" s="94" t="s">
        <v>163</v>
      </c>
      <c r="B114" s="95">
        <v>21</v>
      </c>
      <c r="C114" s="126">
        <v>942.8275539396194</v>
      </c>
      <c r="D114" s="126">
        <v>974.7088838161344</v>
      </c>
      <c r="E114" s="126">
        <v>1159.2050756867586</v>
      </c>
      <c r="F114" s="126">
        <v>1464.4312565740659</v>
      </c>
      <c r="G114" s="126">
        <v>1816.396133769223</v>
      </c>
      <c r="H114" s="126">
        <v>1473.781256574066</v>
      </c>
      <c r="I114" s="126">
        <v>1545.1405133409423</v>
      </c>
      <c r="J114" s="126">
        <v>1673.5363378729894</v>
      </c>
      <c r="K114" s="126">
        <v>1805.6077414479043</v>
      </c>
      <c r="L114" s="126">
        <v>3086.92</v>
      </c>
      <c r="M114" s="23"/>
      <c r="N114" s="23"/>
      <c r="O114" s="23"/>
    </row>
    <row r="115" spans="1:15" ht="12.75">
      <c r="A115" s="94" t="s">
        <v>164</v>
      </c>
      <c r="B115" s="95">
        <v>28</v>
      </c>
      <c r="C115" s="126">
        <v>1001.2251396757683</v>
      </c>
      <c r="D115" s="126">
        <v>1031.244060780091</v>
      </c>
      <c r="E115" s="126">
        <v>1232.202817375676</v>
      </c>
      <c r="F115" s="126">
        <v>1607.1492650818323</v>
      </c>
      <c r="G115" s="126">
        <v>2021.4947740070684</v>
      </c>
      <c r="H115" s="126">
        <v>1617.1692650818325</v>
      </c>
      <c r="I115" s="126">
        <v>1687.33560805053</v>
      </c>
      <c r="J115" s="126">
        <v>1839.0141374222947</v>
      </c>
      <c r="K115" s="126">
        <v>1961.6543829114737</v>
      </c>
      <c r="L115" s="126">
        <v>3086.92</v>
      </c>
      <c r="M115" s="23"/>
      <c r="N115" s="23"/>
      <c r="O115" s="23"/>
    </row>
    <row r="116" spans="1:15" ht="12.75">
      <c r="A116" s="94" t="s">
        <v>165</v>
      </c>
      <c r="B116" s="95">
        <v>35</v>
      </c>
      <c r="C116" s="126">
        <v>1042.139399188474</v>
      </c>
      <c r="D116" s="126">
        <v>1073.4573102408237</v>
      </c>
      <c r="E116" s="126">
        <v>1288.1415374405428</v>
      </c>
      <c r="F116" s="126">
        <v>1713.4464408200647</v>
      </c>
      <c r="G116" s="126">
        <v>2220.9931498534124</v>
      </c>
      <c r="H116" s="126">
        <v>1723.9464408200647</v>
      </c>
      <c r="I116" s="126">
        <v>1795.3487356618652</v>
      </c>
      <c r="J116" s="126">
        <v>1961.6543829114737</v>
      </c>
      <c r="K116" s="126">
        <v>2086.0609610229976</v>
      </c>
      <c r="L116" s="126">
        <v>3086.92</v>
      </c>
      <c r="M116" s="23"/>
      <c r="N116" s="23"/>
      <c r="O116" s="23"/>
    </row>
    <row r="117" spans="1:15" ht="12.75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</row>
    <row r="118" spans="1:15" ht="15.75">
      <c r="A118" s="129" t="s">
        <v>253</v>
      </c>
      <c r="B118" s="129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</row>
    <row r="119" spans="1:15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23"/>
      <c r="N119" s="23"/>
      <c r="O119" s="23"/>
    </row>
    <row r="120" spans="1:15" ht="12.75">
      <c r="A120" s="120" t="s">
        <v>166</v>
      </c>
      <c r="B120" s="120"/>
      <c r="C120" s="121" t="s">
        <v>167</v>
      </c>
      <c r="D120" s="121" t="s">
        <v>167</v>
      </c>
      <c r="E120" s="121" t="s">
        <v>168</v>
      </c>
      <c r="F120" s="121" t="s">
        <v>169</v>
      </c>
      <c r="G120" s="121" t="s">
        <v>170</v>
      </c>
      <c r="H120" s="121" t="s">
        <v>171</v>
      </c>
      <c r="I120" s="121" t="s">
        <v>172</v>
      </c>
      <c r="J120" s="121" t="s">
        <v>171</v>
      </c>
      <c r="K120" s="121" t="s">
        <v>173</v>
      </c>
      <c r="L120" s="121" t="s">
        <v>208</v>
      </c>
      <c r="M120" s="23"/>
      <c r="N120" s="23"/>
      <c r="O120" s="23"/>
    </row>
    <row r="121" spans="1:15" ht="12.75">
      <c r="A121" s="120" t="s">
        <v>174</v>
      </c>
      <c r="B121" s="120" t="s">
        <v>207</v>
      </c>
      <c r="C121" s="121" t="s">
        <v>175</v>
      </c>
      <c r="D121" s="121" t="s">
        <v>175</v>
      </c>
      <c r="E121" s="121" t="s">
        <v>176</v>
      </c>
      <c r="F121" s="121" t="s">
        <v>177</v>
      </c>
      <c r="G121" s="121" t="s">
        <v>178</v>
      </c>
      <c r="H121" s="121" t="s">
        <v>179</v>
      </c>
      <c r="I121" s="121" t="s">
        <v>180</v>
      </c>
      <c r="J121" s="121" t="s">
        <v>181</v>
      </c>
      <c r="K121" s="121" t="s">
        <v>182</v>
      </c>
      <c r="L121" s="121" t="s">
        <v>209</v>
      </c>
      <c r="M121" s="23"/>
      <c r="N121" s="23"/>
      <c r="O121" s="23"/>
    </row>
    <row r="122" spans="1:15" ht="12.75">
      <c r="A122" s="122"/>
      <c r="B122" s="122"/>
      <c r="C122" s="123"/>
      <c r="D122" s="123" t="s">
        <v>183</v>
      </c>
      <c r="E122" s="123" t="s">
        <v>184</v>
      </c>
      <c r="F122" s="123" t="s">
        <v>185</v>
      </c>
      <c r="G122" s="123" t="s">
        <v>186</v>
      </c>
      <c r="H122" s="123" t="s">
        <v>187</v>
      </c>
      <c r="I122" s="123" t="s">
        <v>182</v>
      </c>
      <c r="J122" s="123"/>
      <c r="K122" s="123" t="s">
        <v>188</v>
      </c>
      <c r="L122" s="123"/>
      <c r="M122" s="23"/>
      <c r="N122" s="23"/>
      <c r="O122" s="23"/>
    </row>
    <row r="123" spans="1:15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27"/>
      <c r="L123" s="127"/>
      <c r="M123" s="23"/>
      <c r="N123" s="23"/>
      <c r="O123" s="23"/>
    </row>
    <row r="124" spans="1:15" ht="12.75">
      <c r="A124" s="94" t="s">
        <v>159</v>
      </c>
      <c r="B124" s="95">
        <v>0</v>
      </c>
      <c r="C124" s="126">
        <v>689.4883333333333</v>
      </c>
      <c r="D124" s="126">
        <v>720.4266666666666</v>
      </c>
      <c r="E124" s="126">
        <v>828.5175</v>
      </c>
      <c r="F124" s="126">
        <v>1014.6691666666667</v>
      </c>
      <c r="G124" s="126">
        <v>1233.7825</v>
      </c>
      <c r="H124" s="126">
        <v>1031.9466666666667</v>
      </c>
      <c r="I124" s="126">
        <v>1031.9466666666667</v>
      </c>
      <c r="J124" s="126">
        <v>1159.1058333333333</v>
      </c>
      <c r="K124" s="126">
        <v>1159.1058333333333</v>
      </c>
      <c r="L124" s="126">
        <v>3086.92</v>
      </c>
      <c r="M124" s="144">
        <f>VLOOKUP(E2,B124:L130,E1)</f>
        <v>1751.6066666666666</v>
      </c>
      <c r="N124" s="23"/>
      <c r="O124" s="23"/>
    </row>
    <row r="125" spans="1:15" ht="12.75">
      <c r="A125" s="94" t="s">
        <v>160</v>
      </c>
      <c r="B125" s="95">
        <v>3</v>
      </c>
      <c r="C125" s="126">
        <v>712.7341666666667</v>
      </c>
      <c r="D125" s="126">
        <v>743.0458333333332</v>
      </c>
      <c r="E125" s="126">
        <v>858.6525</v>
      </c>
      <c r="F125" s="126">
        <v>1056.1133333333335</v>
      </c>
      <c r="G125" s="126">
        <v>1285.3766666666666</v>
      </c>
      <c r="H125" s="126">
        <v>1073.8391666666666</v>
      </c>
      <c r="I125" s="126">
        <v>1073.8391666666666</v>
      </c>
      <c r="J125" s="126">
        <v>1205.5716666666665</v>
      </c>
      <c r="K125" s="126">
        <v>1254.4566666666667</v>
      </c>
      <c r="L125" s="126">
        <v>3086.92</v>
      </c>
      <c r="M125" s="23"/>
      <c r="N125" s="23"/>
      <c r="O125" s="23"/>
    </row>
    <row r="126" spans="1:15" ht="12.75">
      <c r="A126" s="94" t="s">
        <v>161</v>
      </c>
      <c r="B126" s="95">
        <v>9</v>
      </c>
      <c r="C126" s="126">
        <v>796.9783333333335</v>
      </c>
      <c r="D126" s="126">
        <v>826.7041666666668</v>
      </c>
      <c r="E126" s="126">
        <v>966.2191666666668</v>
      </c>
      <c r="F126" s="126">
        <v>1183.7408333333335</v>
      </c>
      <c r="G126" s="126">
        <v>1445.26</v>
      </c>
      <c r="H126" s="126">
        <v>1202.8591666666666</v>
      </c>
      <c r="I126" s="126">
        <v>1202.8591666666666</v>
      </c>
      <c r="J126" s="126">
        <v>1357.4466666666665</v>
      </c>
      <c r="K126" s="126">
        <v>1407.0266666666666</v>
      </c>
      <c r="L126" s="126">
        <v>3086.92</v>
      </c>
      <c r="M126" s="23"/>
      <c r="N126" s="23"/>
      <c r="O126" s="23"/>
    </row>
    <row r="127" spans="1:15" ht="12.75">
      <c r="A127" s="94" t="s">
        <v>162</v>
      </c>
      <c r="B127" s="95">
        <v>15</v>
      </c>
      <c r="C127" s="126">
        <v>875.5991666666667</v>
      </c>
      <c r="D127" s="126">
        <v>905.315</v>
      </c>
      <c r="E127" s="126">
        <v>1068.0991666666666</v>
      </c>
      <c r="F127" s="126">
        <v>1332.785</v>
      </c>
      <c r="G127" s="126">
        <v>1631.8516666666667</v>
      </c>
      <c r="H127" s="126">
        <v>1353.5691666666667</v>
      </c>
      <c r="I127" s="126">
        <v>1353.5691666666667</v>
      </c>
      <c r="J127" s="126">
        <v>1532.2816666666668</v>
      </c>
      <c r="K127" s="126">
        <v>1595.2283333333335</v>
      </c>
      <c r="L127" s="126">
        <v>3086.92</v>
      </c>
      <c r="M127" s="23"/>
      <c r="N127" s="23"/>
      <c r="O127" s="23"/>
    </row>
    <row r="128" spans="1:15" ht="12.75">
      <c r="A128" s="94" t="s">
        <v>163</v>
      </c>
      <c r="B128" s="95">
        <v>21</v>
      </c>
      <c r="C128" s="126">
        <v>952.9975</v>
      </c>
      <c r="D128" s="126">
        <v>985.1391666666667</v>
      </c>
      <c r="E128" s="126">
        <v>1170.595</v>
      </c>
      <c r="F128" s="126">
        <v>1477.4616666666668</v>
      </c>
      <c r="G128" s="126">
        <v>1831.4558333333334</v>
      </c>
      <c r="H128" s="126">
        <v>1499.8325000000002</v>
      </c>
      <c r="I128" s="126">
        <v>1571.6533333333334</v>
      </c>
      <c r="J128" s="126">
        <v>1702.05</v>
      </c>
      <c r="K128" s="126">
        <v>1834.9566666666667</v>
      </c>
      <c r="L128" s="126">
        <v>3086.92</v>
      </c>
      <c r="M128" s="23"/>
      <c r="N128" s="23"/>
      <c r="O128" s="23"/>
    </row>
    <row r="129" spans="1:15" ht="12.75">
      <c r="A129" s="94" t="s">
        <v>164</v>
      </c>
      <c r="B129" s="95">
        <v>28</v>
      </c>
      <c r="C129" s="126">
        <v>1011.395</v>
      </c>
      <c r="D129" s="126">
        <v>1041.6741666666667</v>
      </c>
      <c r="E129" s="126">
        <v>1243.5925</v>
      </c>
      <c r="F129" s="126">
        <v>1620.1791666666668</v>
      </c>
      <c r="G129" s="126">
        <v>2036.555</v>
      </c>
      <c r="H129" s="126">
        <v>1644.145</v>
      </c>
      <c r="I129" s="126">
        <v>1714.7558333333334</v>
      </c>
      <c r="J129" s="126">
        <v>1868.5816666666667</v>
      </c>
      <c r="K129" s="126">
        <v>1992.01</v>
      </c>
      <c r="L129" s="126">
        <v>3086.92</v>
      </c>
      <c r="M129" s="23"/>
      <c r="N129" s="23"/>
      <c r="O129" s="23"/>
    </row>
    <row r="130" spans="1:15" ht="12.75">
      <c r="A130" s="94" t="s">
        <v>165</v>
      </c>
      <c r="B130" s="95">
        <v>35</v>
      </c>
      <c r="C130" s="126">
        <v>1052.3091666666667</v>
      </c>
      <c r="D130" s="126">
        <v>1083.8875</v>
      </c>
      <c r="E130" s="126">
        <v>1299.5316666666668</v>
      </c>
      <c r="F130" s="126">
        <v>1726.4766666666667</v>
      </c>
      <c r="G130" s="126">
        <v>2236.0533333333333</v>
      </c>
      <c r="H130" s="126">
        <v>1751.6066666666666</v>
      </c>
      <c r="I130" s="126">
        <v>1823.4716666666666</v>
      </c>
      <c r="J130" s="126">
        <v>1992.01</v>
      </c>
      <c r="K130" s="126">
        <v>2117.2083333333335</v>
      </c>
      <c r="L130" s="126">
        <v>3086.92</v>
      </c>
      <c r="M130" s="23"/>
      <c r="N130" s="23"/>
      <c r="O130" s="23"/>
    </row>
    <row r="131" spans="1:13" ht="15.75">
      <c r="A131" s="129"/>
      <c r="B131" s="129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</row>
    <row r="132" spans="1:13" ht="15.75">
      <c r="A132" s="129" t="s">
        <v>254</v>
      </c>
      <c r="B132" s="129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</row>
    <row r="133" spans="1:13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23"/>
    </row>
    <row r="134" spans="1:13" ht="12.75">
      <c r="A134" s="120" t="s">
        <v>166</v>
      </c>
      <c r="B134" s="120"/>
      <c r="C134" s="121" t="s">
        <v>167</v>
      </c>
      <c r="D134" s="121" t="s">
        <v>167</v>
      </c>
      <c r="E134" s="121" t="s">
        <v>168</v>
      </c>
      <c r="F134" s="121" t="s">
        <v>169</v>
      </c>
      <c r="G134" s="121" t="s">
        <v>170</v>
      </c>
      <c r="H134" s="121" t="s">
        <v>171</v>
      </c>
      <c r="I134" s="121" t="s">
        <v>172</v>
      </c>
      <c r="J134" s="121" t="s">
        <v>171</v>
      </c>
      <c r="K134" s="121" t="s">
        <v>173</v>
      </c>
      <c r="L134" s="121" t="s">
        <v>208</v>
      </c>
      <c r="M134" s="23"/>
    </row>
    <row r="135" spans="1:13" ht="12.75">
      <c r="A135" s="120" t="s">
        <v>174</v>
      </c>
      <c r="B135" s="120" t="s">
        <v>207</v>
      </c>
      <c r="C135" s="121" t="s">
        <v>175</v>
      </c>
      <c r="D135" s="121" t="s">
        <v>175</v>
      </c>
      <c r="E135" s="121" t="s">
        <v>176</v>
      </c>
      <c r="F135" s="121" t="s">
        <v>177</v>
      </c>
      <c r="G135" s="121" t="s">
        <v>178</v>
      </c>
      <c r="H135" s="121" t="s">
        <v>179</v>
      </c>
      <c r="I135" s="121" t="s">
        <v>180</v>
      </c>
      <c r="J135" s="121" t="s">
        <v>181</v>
      </c>
      <c r="K135" s="121" t="s">
        <v>182</v>
      </c>
      <c r="L135" s="121" t="s">
        <v>209</v>
      </c>
      <c r="M135" s="23"/>
    </row>
    <row r="136" spans="1:13" ht="12.75">
      <c r="A136" s="122"/>
      <c r="B136" s="122"/>
      <c r="C136" s="123"/>
      <c r="D136" s="123" t="s">
        <v>183</v>
      </c>
      <c r="E136" s="123" t="s">
        <v>184</v>
      </c>
      <c r="F136" s="123" t="s">
        <v>185</v>
      </c>
      <c r="G136" s="123" t="s">
        <v>186</v>
      </c>
      <c r="H136" s="123" t="s">
        <v>187</v>
      </c>
      <c r="I136" s="123" t="s">
        <v>182</v>
      </c>
      <c r="J136" s="123"/>
      <c r="K136" s="123" t="s">
        <v>188</v>
      </c>
      <c r="L136" s="123"/>
      <c r="M136" s="23"/>
    </row>
    <row r="137" spans="1:13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27"/>
      <c r="L137" s="127"/>
      <c r="M137" s="23"/>
    </row>
    <row r="138" spans="1:13" ht="12.75">
      <c r="A138" s="94" t="s">
        <v>159</v>
      </c>
      <c r="B138" s="95">
        <v>0</v>
      </c>
      <c r="C138" s="126">
        <v>724.7283333333334</v>
      </c>
      <c r="D138" s="126">
        <v>756.5666666666666</v>
      </c>
      <c r="E138" s="126">
        <v>867.9975</v>
      </c>
      <c r="F138" s="126">
        <v>1059.7991666666667</v>
      </c>
      <c r="G138" s="126">
        <v>1285.9725</v>
      </c>
      <c r="H138" s="126">
        <v>1078.3466666666666</v>
      </c>
      <c r="I138" s="126">
        <v>1078.3466666666666</v>
      </c>
      <c r="J138" s="126">
        <v>1209.4658333333334</v>
      </c>
      <c r="K138" s="126">
        <v>1209.4658333333334</v>
      </c>
      <c r="L138" s="126">
        <v>3331.61</v>
      </c>
      <c r="M138" s="144">
        <f>VLOOKUP(E2,B138:L144,E1)</f>
        <v>1825.6566666666668</v>
      </c>
    </row>
    <row r="139" spans="1:13" ht="12.75">
      <c r="A139" s="94" t="s">
        <v>160</v>
      </c>
      <c r="B139" s="95">
        <v>3</v>
      </c>
      <c r="C139" s="126">
        <v>748.8541666666666</v>
      </c>
      <c r="D139" s="126">
        <v>780.0458333333332</v>
      </c>
      <c r="E139" s="126">
        <v>899.2725</v>
      </c>
      <c r="F139" s="126">
        <v>1102.8133333333333</v>
      </c>
      <c r="G139" s="126">
        <v>1339.5266666666666</v>
      </c>
      <c r="H139" s="126">
        <v>1121.8491666666666</v>
      </c>
      <c r="I139" s="126">
        <v>1121.8491666666666</v>
      </c>
      <c r="J139" s="126">
        <v>1257.7116666666668</v>
      </c>
      <c r="K139" s="126">
        <v>1308.4766666666667</v>
      </c>
      <c r="L139" s="126">
        <f aca="true" t="shared" si="0" ref="L139:L144">L138</f>
        <v>3331.61</v>
      </c>
      <c r="M139" s="23"/>
    </row>
    <row r="140" spans="1:13" ht="12.75">
      <c r="A140" s="94" t="s">
        <v>161</v>
      </c>
      <c r="B140" s="95">
        <v>9</v>
      </c>
      <c r="C140" s="126">
        <v>836.2983333333333</v>
      </c>
      <c r="D140" s="126">
        <v>866.8841666666667</v>
      </c>
      <c r="E140" s="126">
        <v>1010.9191666666667</v>
      </c>
      <c r="F140" s="126">
        <v>1235.2908333333332</v>
      </c>
      <c r="G140" s="126">
        <v>1505.48</v>
      </c>
      <c r="H140" s="126">
        <v>1255.8291666666667</v>
      </c>
      <c r="I140" s="126">
        <v>1255.8291666666667</v>
      </c>
      <c r="J140" s="126">
        <v>1415.4266666666665</v>
      </c>
      <c r="K140" s="126">
        <v>1466.9066666666668</v>
      </c>
      <c r="L140" s="126">
        <f t="shared" si="0"/>
        <v>3331.61</v>
      </c>
      <c r="M140" s="23"/>
    </row>
    <row r="141" spans="1:13" ht="12.75">
      <c r="A141" s="94" t="s">
        <v>162</v>
      </c>
      <c r="B141" s="95">
        <v>15</v>
      </c>
      <c r="C141" s="126">
        <v>917.8991666666667</v>
      </c>
      <c r="D141" s="126">
        <v>948.475</v>
      </c>
      <c r="E141" s="126">
        <v>1116.6691666666668</v>
      </c>
      <c r="F141" s="126">
        <v>1389.985</v>
      </c>
      <c r="G141" s="126">
        <v>1699.1516666666666</v>
      </c>
      <c r="H141" s="126">
        <v>1412.3291666666667</v>
      </c>
      <c r="I141" s="126">
        <v>1412.3291666666667</v>
      </c>
      <c r="J141" s="126">
        <v>1596.9716666666666</v>
      </c>
      <c r="K141" s="126">
        <v>1662.3383333333334</v>
      </c>
      <c r="L141" s="126">
        <f t="shared" si="0"/>
        <v>3331.61</v>
      </c>
      <c r="M141" s="23"/>
    </row>
    <row r="142" spans="1:13" ht="12.75">
      <c r="A142" s="94" t="s">
        <v>163</v>
      </c>
      <c r="B142" s="95">
        <v>21</v>
      </c>
      <c r="C142" s="126">
        <v>998.2375</v>
      </c>
      <c r="D142" s="126">
        <v>1031.3291666666667</v>
      </c>
      <c r="E142" s="126">
        <v>1223.055</v>
      </c>
      <c r="F142" s="126">
        <v>1540.1516666666666</v>
      </c>
      <c r="G142" s="126">
        <v>1906.3258333333333</v>
      </c>
      <c r="H142" s="126">
        <v>1564.2124999999999</v>
      </c>
      <c r="I142" s="126">
        <v>1638.7933333333333</v>
      </c>
      <c r="J142" s="126">
        <v>1773.27</v>
      </c>
      <c r="K142" s="126">
        <v>1911.2766666666666</v>
      </c>
      <c r="L142" s="126">
        <f t="shared" si="0"/>
        <v>3331.61</v>
      </c>
      <c r="M142" s="23"/>
    </row>
    <row r="143" spans="1:13" ht="12.75">
      <c r="A143" s="94" t="s">
        <v>164</v>
      </c>
      <c r="B143" s="95">
        <v>28</v>
      </c>
      <c r="C143" s="126">
        <v>1058.845</v>
      </c>
      <c r="D143" s="126">
        <v>1090.0041666666666</v>
      </c>
      <c r="E143" s="126">
        <v>1298.8225</v>
      </c>
      <c r="F143" s="126">
        <v>1688.2891666666667</v>
      </c>
      <c r="G143" s="126">
        <v>2119.215</v>
      </c>
      <c r="H143" s="126">
        <v>1714.065</v>
      </c>
      <c r="I143" s="126">
        <v>1787.3958333333333</v>
      </c>
      <c r="J143" s="126">
        <v>1946.2016666666666</v>
      </c>
      <c r="K143" s="126">
        <v>2074.37</v>
      </c>
      <c r="L143" s="126">
        <f t="shared" si="0"/>
        <v>3331.61</v>
      </c>
      <c r="M143" s="23"/>
    </row>
    <row r="144" spans="1:13" ht="12.75">
      <c r="A144" s="94" t="s">
        <v>165</v>
      </c>
      <c r="B144" s="95">
        <v>35</v>
      </c>
      <c r="C144" s="126">
        <v>1101.3191666666667</v>
      </c>
      <c r="D144" s="126">
        <v>1133.8275</v>
      </c>
      <c r="E144" s="126">
        <v>1356.8816666666667</v>
      </c>
      <c r="F144" s="126">
        <v>1798.6166666666668</v>
      </c>
      <c r="G144" s="126">
        <v>2326.2833333333333</v>
      </c>
      <c r="H144" s="126">
        <v>1825.6566666666668</v>
      </c>
      <c r="I144" s="126">
        <v>1900.2816666666668</v>
      </c>
      <c r="J144" s="126">
        <v>2074.37</v>
      </c>
      <c r="K144" s="126">
        <v>2204.3783333333336</v>
      </c>
      <c r="L144" s="126">
        <f t="shared" si="0"/>
        <v>3331.61</v>
      </c>
      <c r="M144" s="23"/>
    </row>
    <row r="145" spans="1:13" ht="15" customHeight="1">
      <c r="A145" s="200"/>
      <c r="B145" s="201">
        <v>0</v>
      </c>
      <c r="C145" s="197">
        <v>0</v>
      </c>
      <c r="D145" s="197">
        <v>0</v>
      </c>
      <c r="E145" s="197">
        <v>0</v>
      </c>
      <c r="F145" s="197">
        <v>0</v>
      </c>
      <c r="G145" s="197">
        <v>0</v>
      </c>
      <c r="H145" s="197">
        <v>0</v>
      </c>
      <c r="I145" s="197">
        <v>0</v>
      </c>
      <c r="J145" s="197">
        <v>0</v>
      </c>
      <c r="K145" s="197">
        <v>0</v>
      </c>
      <c r="L145" s="197">
        <v>0</v>
      </c>
      <c r="M145" s="23"/>
    </row>
    <row r="146" spans="1:13" ht="12.75">
      <c r="A146" s="201" t="s">
        <v>259</v>
      </c>
      <c r="B146" s="201">
        <v>2010</v>
      </c>
      <c r="C146" s="197">
        <v>9.32</v>
      </c>
      <c r="D146" s="197">
        <v>9.55</v>
      </c>
      <c r="E146" s="197">
        <v>10.44</v>
      </c>
      <c r="F146" s="197">
        <v>11.93</v>
      </c>
      <c r="G146" s="197">
        <v>13.8</v>
      </c>
      <c r="H146" s="197">
        <v>12.08</v>
      </c>
      <c r="I146" s="197">
        <v>12.08</v>
      </c>
      <c r="J146" s="197">
        <v>13.11</v>
      </c>
      <c r="K146" s="197">
        <v>13.11</v>
      </c>
      <c r="L146" s="197">
        <v>24.99</v>
      </c>
      <c r="M146" s="198">
        <f>VLOOKUP(B147,B145:L146,E1)</f>
        <v>12.08</v>
      </c>
    </row>
    <row r="147" spans="1:13" ht="15.75">
      <c r="A147" s="200"/>
      <c r="B147" s="201">
        <f>IF(C1&gt;2009,2010,0)</f>
        <v>2010</v>
      </c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</row>
    <row r="148" spans="1:13" ht="15.75">
      <c r="A148" s="129"/>
      <c r="B148" s="129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</row>
    <row r="149" spans="1:13" ht="15.75">
      <c r="A149" s="129"/>
      <c r="B149" s="129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</row>
    <row r="150" spans="1:13" ht="15.75">
      <c r="A150" s="129"/>
      <c r="B150" s="129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</row>
    <row r="151" spans="1:13" ht="15.75">
      <c r="A151" s="129" t="s">
        <v>255</v>
      </c>
      <c r="B151" s="129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</row>
    <row r="152" spans="1:13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23"/>
    </row>
    <row r="153" spans="1:13" ht="12.75">
      <c r="A153" s="120" t="s">
        <v>166</v>
      </c>
      <c r="B153" s="120"/>
      <c r="C153" s="121" t="s">
        <v>167</v>
      </c>
      <c r="D153" s="121" t="s">
        <v>167</v>
      </c>
      <c r="E153" s="121" t="s">
        <v>168</v>
      </c>
      <c r="F153" s="121" t="s">
        <v>169</v>
      </c>
      <c r="G153" s="121" t="s">
        <v>170</v>
      </c>
      <c r="H153" s="121" t="s">
        <v>171</v>
      </c>
      <c r="I153" s="121" t="s">
        <v>172</v>
      </c>
      <c r="J153" s="121" t="s">
        <v>171</v>
      </c>
      <c r="K153" s="121" t="s">
        <v>173</v>
      </c>
      <c r="L153" s="121" t="s">
        <v>208</v>
      </c>
      <c r="M153" s="23"/>
    </row>
    <row r="154" spans="1:13" ht="12.75">
      <c r="A154" s="120" t="s">
        <v>174</v>
      </c>
      <c r="B154" s="120" t="s">
        <v>207</v>
      </c>
      <c r="C154" s="121" t="s">
        <v>175</v>
      </c>
      <c r="D154" s="121" t="s">
        <v>175</v>
      </c>
      <c r="E154" s="121" t="s">
        <v>176</v>
      </c>
      <c r="F154" s="121" t="s">
        <v>177</v>
      </c>
      <c r="G154" s="121" t="s">
        <v>178</v>
      </c>
      <c r="H154" s="121" t="s">
        <v>179</v>
      </c>
      <c r="I154" s="121" t="s">
        <v>180</v>
      </c>
      <c r="J154" s="121" t="s">
        <v>181</v>
      </c>
      <c r="K154" s="121" t="s">
        <v>182</v>
      </c>
      <c r="L154" s="121" t="s">
        <v>209</v>
      </c>
      <c r="M154" s="23"/>
    </row>
    <row r="155" spans="1:13" ht="12.75">
      <c r="A155" s="122"/>
      <c r="B155" s="122"/>
      <c r="C155" s="123"/>
      <c r="D155" s="123" t="s">
        <v>183</v>
      </c>
      <c r="E155" s="123" t="s">
        <v>184</v>
      </c>
      <c r="F155" s="123" t="s">
        <v>185</v>
      </c>
      <c r="G155" s="123" t="s">
        <v>186</v>
      </c>
      <c r="H155" s="123" t="s">
        <v>187</v>
      </c>
      <c r="I155" s="123" t="s">
        <v>182</v>
      </c>
      <c r="J155" s="123"/>
      <c r="K155" s="123" t="s">
        <v>188</v>
      </c>
      <c r="L155" s="123"/>
      <c r="M155" s="23"/>
    </row>
    <row r="156" spans="1:13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27"/>
      <c r="L156" s="127"/>
      <c r="M156" s="23"/>
    </row>
    <row r="157" spans="1:13" ht="12.75">
      <c r="A157" s="94" t="s">
        <v>159</v>
      </c>
      <c r="B157" s="95">
        <v>0</v>
      </c>
      <c r="C157" s="126"/>
      <c r="D157" s="126"/>
      <c r="E157" s="126"/>
      <c r="F157" s="126"/>
      <c r="G157" s="126"/>
      <c r="H157" s="126"/>
      <c r="I157" s="126"/>
      <c r="J157" s="126"/>
      <c r="K157" s="126"/>
      <c r="L157" s="126"/>
      <c r="M157" s="144">
        <f>VLOOKUP(E2,B157:L163,E1)</f>
        <v>0</v>
      </c>
    </row>
    <row r="158" spans="1:13" ht="12.75">
      <c r="A158" s="94" t="s">
        <v>160</v>
      </c>
      <c r="B158" s="95">
        <v>3</v>
      </c>
      <c r="C158" s="126"/>
      <c r="D158" s="126"/>
      <c r="E158" s="126"/>
      <c r="F158" s="126"/>
      <c r="G158" s="126"/>
      <c r="H158" s="126"/>
      <c r="I158" s="126"/>
      <c r="J158" s="126"/>
      <c r="K158" s="126"/>
      <c r="L158" s="126"/>
      <c r="M158" s="23"/>
    </row>
    <row r="159" spans="1:13" ht="12.75">
      <c r="A159" s="94" t="s">
        <v>161</v>
      </c>
      <c r="B159" s="95">
        <v>9</v>
      </c>
      <c r="C159" s="126"/>
      <c r="D159" s="126"/>
      <c r="E159" s="126"/>
      <c r="F159" s="126"/>
      <c r="G159" s="126"/>
      <c r="H159" s="126"/>
      <c r="I159" s="126"/>
      <c r="J159" s="126"/>
      <c r="K159" s="126"/>
      <c r="L159" s="126"/>
      <c r="M159" s="23"/>
    </row>
    <row r="160" spans="1:13" ht="12.75">
      <c r="A160" s="94" t="s">
        <v>162</v>
      </c>
      <c r="B160" s="95">
        <v>15</v>
      </c>
      <c r="C160" s="126"/>
      <c r="D160" s="126"/>
      <c r="E160" s="126"/>
      <c r="F160" s="126"/>
      <c r="G160" s="126"/>
      <c r="H160" s="126"/>
      <c r="I160" s="126"/>
      <c r="J160" s="126"/>
      <c r="K160" s="126"/>
      <c r="L160" s="126"/>
      <c r="M160" s="23"/>
    </row>
    <row r="161" spans="1:13" ht="12.75">
      <c r="A161" s="94" t="s">
        <v>163</v>
      </c>
      <c r="B161" s="95">
        <v>21</v>
      </c>
      <c r="C161" s="126"/>
      <c r="D161" s="126"/>
      <c r="E161" s="126"/>
      <c r="F161" s="126"/>
      <c r="G161" s="126"/>
      <c r="H161" s="126"/>
      <c r="I161" s="126"/>
      <c r="J161" s="126"/>
      <c r="K161" s="126"/>
      <c r="L161" s="126"/>
      <c r="M161" s="23"/>
    </row>
    <row r="162" spans="1:13" ht="12.75">
      <c r="A162" s="94" t="s">
        <v>164</v>
      </c>
      <c r="B162" s="95">
        <v>28</v>
      </c>
      <c r="C162" s="126"/>
      <c r="D162" s="126"/>
      <c r="E162" s="126"/>
      <c r="F162" s="126"/>
      <c r="G162" s="126"/>
      <c r="H162" s="126"/>
      <c r="I162" s="126"/>
      <c r="J162" s="126"/>
      <c r="K162" s="126"/>
      <c r="L162" s="126"/>
      <c r="M162" s="23"/>
    </row>
    <row r="163" spans="1:13" ht="12.75">
      <c r="A163" s="94" t="s">
        <v>165</v>
      </c>
      <c r="B163" s="95">
        <v>35</v>
      </c>
      <c r="C163" s="126"/>
      <c r="D163" s="126"/>
      <c r="E163" s="126"/>
      <c r="F163" s="126"/>
      <c r="G163" s="126"/>
      <c r="H163" s="126"/>
      <c r="I163" s="126"/>
      <c r="J163" s="126"/>
      <c r="K163" s="126"/>
      <c r="L163" s="126"/>
      <c r="M163" s="23"/>
    </row>
  </sheetData>
  <sheetProtection password="D8FD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6"/>
  <dimension ref="A1:W111"/>
  <sheetViews>
    <sheetView zoomScalePageLayoutView="0" workbookViewId="0" topLeftCell="A1">
      <selection activeCell="C69" sqref="C69"/>
    </sheetView>
  </sheetViews>
  <sheetFormatPr defaultColWidth="9.140625" defaultRowHeight="12.75"/>
  <cols>
    <col min="1" max="2" width="5.7109375" style="0" customWidth="1"/>
    <col min="3" max="3" width="40.7109375" style="0" customWidth="1"/>
    <col min="4" max="4" width="13.28125" style="0" customWidth="1"/>
    <col min="5" max="5" width="14.140625" style="0" customWidth="1"/>
    <col min="6" max="6" width="13.7109375" style="0" customWidth="1"/>
    <col min="7" max="7" width="10.28125" style="0" bestFit="1" customWidth="1"/>
    <col min="8" max="8" width="7.421875" style="0" customWidth="1"/>
    <col min="9" max="9" width="16.57421875" style="0" customWidth="1"/>
    <col min="10" max="10" width="10.140625" style="0" bestFit="1" customWidth="1"/>
    <col min="13" max="13" width="10.28125" style="0" customWidth="1"/>
    <col min="14" max="14" width="10.421875" style="0" customWidth="1"/>
  </cols>
  <sheetData>
    <row r="1" spans="1:23" ht="33">
      <c r="A1" s="9"/>
      <c r="B1" s="9"/>
      <c r="C1" s="20" t="s">
        <v>265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ht="15.75">
      <c r="A2" s="9"/>
      <c r="B2" s="9"/>
      <c r="C2" s="191" t="s">
        <v>266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3" ht="12.75">
      <c r="A3" s="6"/>
      <c r="B3" s="6"/>
      <c r="C3" s="45" t="s">
        <v>267</v>
      </c>
      <c r="D3" s="204">
        <f>Buonuscita!K17</f>
        <v>88312.55911111111</v>
      </c>
      <c r="E3" s="218"/>
      <c r="F3" s="224">
        <f>IF(E9=2,50000,IF(E9=3,90000,0))</f>
        <v>50000</v>
      </c>
      <c r="G3" s="224">
        <v>50000</v>
      </c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</row>
    <row r="4" spans="1:23" ht="12.75">
      <c r="A4" s="6"/>
      <c r="B4" s="6"/>
      <c r="C4" s="45" t="s">
        <v>268</v>
      </c>
      <c r="D4" s="204">
        <f>Buonuscita!K26</f>
        <v>12403.078928787556</v>
      </c>
      <c r="E4" s="218"/>
      <c r="F4" s="224">
        <f>IF(E9=2,100000,IF(E9=3,150000,0))</f>
        <v>100000</v>
      </c>
      <c r="G4" s="225">
        <f>D3-F3</f>
        <v>38312.55911111111</v>
      </c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</row>
    <row r="5" spans="1:23" ht="12.75">
      <c r="A5" s="6"/>
      <c r="B5" s="6"/>
      <c r="C5" s="45" t="s">
        <v>269</v>
      </c>
      <c r="D5" s="204">
        <f>Buonuscita!K29</f>
        <v>75909.48018232356</v>
      </c>
      <c r="E5" s="218"/>
      <c r="F5" s="218">
        <f>IF(G5&lt;0,0,1)</f>
        <v>0</v>
      </c>
      <c r="G5" s="225">
        <f>D3-F4</f>
        <v>-11687.440888888887</v>
      </c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</row>
    <row r="6" spans="1:23" ht="12.75">
      <c r="A6" s="6"/>
      <c r="B6" s="6"/>
      <c r="C6" s="45" t="s">
        <v>270</v>
      </c>
      <c r="D6" s="45">
        <f>Buonuscita!J12</f>
        <v>43</v>
      </c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</row>
    <row r="7" spans="1:23" ht="12.75">
      <c r="A7" s="6"/>
      <c r="B7" s="6"/>
      <c r="C7" s="45" t="s">
        <v>271</v>
      </c>
      <c r="D7" s="204">
        <f>Buonuscita!K15</f>
        <v>0</v>
      </c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</row>
    <row r="8" spans="1:23" ht="12.75">
      <c r="A8" s="6"/>
      <c r="B8" s="6"/>
      <c r="C8" s="45"/>
      <c r="D8" s="204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</row>
    <row r="9" spans="1:23" ht="12.75">
      <c r="A9" s="6"/>
      <c r="B9" s="6"/>
      <c r="C9" s="219" t="s">
        <v>319</v>
      </c>
      <c r="D9" s="220"/>
      <c r="E9" s="221">
        <v>2</v>
      </c>
      <c r="F9" s="222">
        <v>1</v>
      </c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</row>
    <row r="10" spans="1:23" ht="12.75">
      <c r="A10" s="6"/>
      <c r="B10" s="6"/>
      <c r="C10" s="219" t="s">
        <v>320</v>
      </c>
      <c r="D10" s="220"/>
      <c r="E10" s="223"/>
      <c r="F10" s="222">
        <v>2</v>
      </c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</row>
    <row r="11" spans="1:23" ht="12.75">
      <c r="A11" s="6"/>
      <c r="B11" s="6"/>
      <c r="C11" s="219" t="s">
        <v>321</v>
      </c>
      <c r="D11" s="220"/>
      <c r="E11" s="223"/>
      <c r="F11" s="222">
        <v>3</v>
      </c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</row>
    <row r="12" spans="1:23" ht="12.75">
      <c r="A12" s="6"/>
      <c r="B12" s="6"/>
      <c r="C12" s="6"/>
      <c r="D12" s="6"/>
      <c r="E12" s="6"/>
      <c r="F12" s="6"/>
      <c r="G12" s="218"/>
      <c r="H12" s="226" t="s">
        <v>272</v>
      </c>
      <c r="I12" s="218"/>
      <c r="J12" s="218"/>
      <c r="K12" s="218"/>
      <c r="L12" s="218"/>
      <c r="M12" s="227" t="s">
        <v>232</v>
      </c>
      <c r="N12" s="227"/>
      <c r="O12" s="218"/>
      <c r="P12" s="218"/>
      <c r="Q12" s="218"/>
      <c r="R12" s="218"/>
      <c r="S12" s="218"/>
      <c r="T12" s="218"/>
      <c r="U12" s="218"/>
      <c r="V12" s="218"/>
      <c r="W12" s="218"/>
    </row>
    <row r="13" spans="1:23" ht="12.75">
      <c r="A13" s="6"/>
      <c r="B13" s="6"/>
      <c r="C13" s="21" t="s">
        <v>273</v>
      </c>
      <c r="D13" s="21"/>
      <c r="E13" s="205">
        <f>IF(D3&lt;F3,D3,F3)</f>
        <v>50000</v>
      </c>
      <c r="F13" s="21"/>
      <c r="G13" s="218"/>
      <c r="H13" s="226">
        <v>2011</v>
      </c>
      <c r="I13" s="218"/>
      <c r="J13" s="218"/>
      <c r="K13" s="218"/>
      <c r="L13" s="218"/>
      <c r="M13" s="228">
        <v>7500</v>
      </c>
      <c r="N13" s="229">
        <v>70</v>
      </c>
      <c r="O13" s="218"/>
      <c r="P13" s="218"/>
      <c r="Q13" s="218"/>
      <c r="R13" s="218"/>
      <c r="S13" s="218"/>
      <c r="T13" s="218"/>
      <c r="U13" s="218"/>
      <c r="V13" s="218"/>
      <c r="W13" s="218"/>
    </row>
    <row r="14" spans="1:23" ht="12.75">
      <c r="A14" s="6"/>
      <c r="B14" s="6"/>
      <c r="C14" s="21" t="s">
        <v>22</v>
      </c>
      <c r="D14" s="21"/>
      <c r="E14" s="21"/>
      <c r="F14" s="51">
        <f>Buonuscita!K19*G14</f>
        <v>11808.818691141472</v>
      </c>
      <c r="G14" s="218">
        <f>ROUND(E13/D3,5)</f>
        <v>0.56617</v>
      </c>
      <c r="H14" s="226">
        <v>2012</v>
      </c>
      <c r="I14" s="218"/>
      <c r="J14" s="218"/>
      <c r="K14" s="218"/>
      <c r="L14" s="218"/>
      <c r="M14" s="230">
        <v>28000</v>
      </c>
      <c r="N14" s="229">
        <f>50+20*N17</f>
        <v>66.878</v>
      </c>
      <c r="O14" s="218"/>
      <c r="P14" s="218"/>
      <c r="Q14" s="218"/>
      <c r="R14" s="218"/>
      <c r="S14" s="218"/>
      <c r="T14" s="218"/>
      <c r="U14" s="218"/>
      <c r="V14" s="218"/>
      <c r="W14" s="218"/>
    </row>
    <row r="15" spans="1:23" ht="12.75">
      <c r="A15" s="6"/>
      <c r="B15" s="6"/>
      <c r="C15" s="21" t="s">
        <v>23</v>
      </c>
      <c r="D15" s="21"/>
      <c r="E15" s="21"/>
      <c r="F15" s="51">
        <f>Buonuscita!K20</f>
        <v>13272.765000000001</v>
      </c>
      <c r="G15" s="218"/>
      <c r="H15" s="226">
        <v>2013</v>
      </c>
      <c r="I15" s="218"/>
      <c r="J15" s="218"/>
      <c r="K15" s="218"/>
      <c r="L15" s="218"/>
      <c r="M15" s="230">
        <v>30000</v>
      </c>
      <c r="N15" s="229">
        <f>50*N18</f>
        <v>482.49000000000007</v>
      </c>
      <c r="O15" s="218"/>
      <c r="P15" s="218"/>
      <c r="Q15" s="218"/>
      <c r="R15" s="218"/>
      <c r="S15" s="218"/>
      <c r="T15" s="218"/>
      <c r="U15" s="218"/>
      <c r="V15" s="218"/>
      <c r="W15" s="218"/>
    </row>
    <row r="16" spans="1:23" ht="12.75">
      <c r="A16" s="6"/>
      <c r="B16" s="6"/>
      <c r="C16" s="29" t="s">
        <v>24</v>
      </c>
      <c r="D16" s="29"/>
      <c r="E16" s="29"/>
      <c r="F16" s="48">
        <f>E13-F14-F15</f>
        <v>24918.416308858526</v>
      </c>
      <c r="G16" s="218"/>
      <c r="H16" s="226">
        <v>2014</v>
      </c>
      <c r="I16" s="218"/>
      <c r="J16" s="218"/>
      <c r="K16" s="218"/>
      <c r="L16" s="218"/>
      <c r="M16" s="231" t="s">
        <v>233</v>
      </c>
      <c r="N16" s="232">
        <f>F17</f>
        <v>10700.307627978107</v>
      </c>
      <c r="O16" s="218"/>
      <c r="P16" s="218"/>
      <c r="Q16" s="218"/>
      <c r="R16" s="218"/>
      <c r="S16" s="218"/>
      <c r="T16" s="218"/>
      <c r="U16" s="218"/>
      <c r="V16" s="218"/>
      <c r="W16" s="218"/>
    </row>
    <row r="17" spans="1:23" ht="12.75">
      <c r="A17" s="6"/>
      <c r="B17" s="6"/>
      <c r="C17" s="21" t="s">
        <v>25</v>
      </c>
      <c r="D17" s="21"/>
      <c r="E17" s="21"/>
      <c r="F17" s="100">
        <f>(E13-F14-D7)/G17*12</f>
        <v>10700.307627978107</v>
      </c>
      <c r="G17" s="218">
        <f>Buonuscita!N22</f>
        <v>42.83</v>
      </c>
      <c r="H17" s="226">
        <v>2015</v>
      </c>
      <c r="I17" s="218"/>
      <c r="J17" s="218"/>
      <c r="K17" s="218"/>
      <c r="L17" s="218"/>
      <c r="M17" s="233" t="s">
        <v>234</v>
      </c>
      <c r="N17" s="234">
        <f>ROUND((28000-N16)/20500,4)</f>
        <v>0.8439</v>
      </c>
      <c r="O17" s="218"/>
      <c r="P17" s="218"/>
      <c r="Q17" s="218"/>
      <c r="R17" s="218"/>
      <c r="S17" s="218"/>
      <c r="T17" s="218"/>
      <c r="U17" s="218"/>
      <c r="V17" s="218"/>
      <c r="W17" s="218"/>
    </row>
    <row r="18" spans="1:23" ht="12.75">
      <c r="A18" s="6"/>
      <c r="B18" s="6"/>
      <c r="C18" s="21" t="s">
        <v>26</v>
      </c>
      <c r="D18" s="21"/>
      <c r="E18" s="21"/>
      <c r="F18" s="206">
        <f>IF(F17&gt;100000,F17*0.43-8610,IF(F17&gt;33500,F17*0.39-4610,IF(F17&gt;26000,F17*0.33-2600,F17*0.23)))</f>
        <v>2461.070754434965</v>
      </c>
      <c r="G18" s="218"/>
      <c r="H18" s="226">
        <v>2016</v>
      </c>
      <c r="I18" s="218"/>
      <c r="J18" s="218"/>
      <c r="K18" s="218"/>
      <c r="L18" s="218"/>
      <c r="M18" s="235" t="s">
        <v>235</v>
      </c>
      <c r="N18" s="236">
        <f>ROUND((30000-N16)/2000,4)</f>
        <v>9.6498</v>
      </c>
      <c r="O18" s="218"/>
      <c r="P18" s="218"/>
      <c r="Q18" s="218"/>
      <c r="R18" s="218"/>
      <c r="S18" s="218"/>
      <c r="T18" s="218"/>
      <c r="U18" s="218"/>
      <c r="V18" s="218"/>
      <c r="W18" s="218"/>
    </row>
    <row r="19" spans="1:23" ht="12.75">
      <c r="A19" s="6"/>
      <c r="B19" s="6"/>
      <c r="C19" s="21" t="s">
        <v>27</v>
      </c>
      <c r="D19" s="21"/>
      <c r="E19" s="63">
        <f>ROUND(F18/F17,4)</f>
        <v>0.23</v>
      </c>
      <c r="F19" s="100"/>
      <c r="G19" s="218"/>
      <c r="H19" s="226">
        <v>2017</v>
      </c>
      <c r="I19" s="218"/>
      <c r="J19" s="218"/>
      <c r="K19" s="218"/>
      <c r="L19" s="218"/>
      <c r="M19" s="237">
        <v>1</v>
      </c>
      <c r="N19" s="238">
        <f>IF(N16&gt;M15,0,IF(N16&gt;M14,N15,IF(N16&gt;M13,N14,N13)))</f>
        <v>66.878</v>
      </c>
      <c r="O19" s="218"/>
      <c r="P19" s="218"/>
      <c r="Q19" s="218"/>
      <c r="R19" s="218"/>
      <c r="S19" s="218"/>
      <c r="T19" s="218"/>
      <c r="U19" s="218"/>
      <c r="V19" s="218"/>
      <c r="W19" s="218"/>
    </row>
    <row r="20" spans="1:23" ht="12.75">
      <c r="A20" s="6"/>
      <c r="B20" s="6"/>
      <c r="C20" s="22"/>
      <c r="D20" s="21"/>
      <c r="E20" s="205"/>
      <c r="F20" s="21"/>
      <c r="G20" s="218"/>
      <c r="H20" s="226">
        <v>2018</v>
      </c>
      <c r="I20" s="218"/>
      <c r="J20" s="218"/>
      <c r="K20" s="218"/>
      <c r="L20" s="218"/>
      <c r="M20" s="239" t="s">
        <v>236</v>
      </c>
      <c r="N20" s="240">
        <f>N19*M19</f>
        <v>66.878</v>
      </c>
      <c r="O20" s="218"/>
      <c r="P20" s="218"/>
      <c r="Q20" s="218"/>
      <c r="R20" s="218"/>
      <c r="S20" s="218"/>
      <c r="T20" s="218"/>
      <c r="U20" s="218"/>
      <c r="V20" s="218"/>
      <c r="W20" s="218"/>
    </row>
    <row r="21" spans="1:23" ht="12.75">
      <c r="A21" s="6"/>
      <c r="B21" s="6"/>
      <c r="C21" s="21" t="s">
        <v>28</v>
      </c>
      <c r="D21" s="21"/>
      <c r="E21" s="21"/>
      <c r="F21" s="100">
        <f>F16*E19-N20</f>
        <v>5664.357751037462</v>
      </c>
      <c r="G21" s="218"/>
      <c r="H21" s="226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218"/>
      <c r="V21" s="218"/>
      <c r="W21" s="218"/>
    </row>
    <row r="22" spans="1:23" ht="12.75">
      <c r="A22" s="6"/>
      <c r="B22" s="6"/>
      <c r="C22" s="21" t="s">
        <v>123</v>
      </c>
      <c r="D22" s="21"/>
      <c r="E22" s="21"/>
      <c r="F22" s="100">
        <f>Buonuscita!K27</f>
        <v>0</v>
      </c>
      <c r="G22" s="218"/>
      <c r="H22" s="226"/>
      <c r="I22" s="218"/>
      <c r="J22" s="218"/>
      <c r="K22" s="218"/>
      <c r="L22" s="218"/>
      <c r="M22" s="218"/>
      <c r="N22" s="218"/>
      <c r="O22" s="218"/>
      <c r="P22" s="218"/>
      <c r="Q22" s="218"/>
      <c r="R22" s="218"/>
      <c r="S22" s="218"/>
      <c r="T22" s="218"/>
      <c r="U22" s="218"/>
      <c r="V22" s="218"/>
      <c r="W22" s="218"/>
    </row>
    <row r="23" spans="1:23" ht="12.75">
      <c r="A23" s="6"/>
      <c r="B23" s="6"/>
      <c r="C23" s="21"/>
      <c r="D23" s="21"/>
      <c r="E23" s="21"/>
      <c r="F23" s="100"/>
      <c r="G23" s="218"/>
      <c r="H23" s="226" t="s">
        <v>274</v>
      </c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8"/>
    </row>
    <row r="24" spans="1:23" ht="12.75">
      <c r="A24" s="6"/>
      <c r="B24" s="6"/>
      <c r="C24" s="28" t="s">
        <v>275</v>
      </c>
      <c r="D24" s="28"/>
      <c r="E24" s="28"/>
      <c r="F24" s="49">
        <f>E13-F21-F22</f>
        <v>44335.64224896254</v>
      </c>
      <c r="G24" s="218"/>
      <c r="H24" s="226">
        <v>2011</v>
      </c>
      <c r="I24" s="218"/>
      <c r="J24" s="218"/>
      <c r="K24" s="218"/>
      <c r="L24" s="218"/>
      <c r="M24" s="218"/>
      <c r="N24" s="218"/>
      <c r="O24" s="218"/>
      <c r="P24" s="218"/>
      <c r="Q24" s="218"/>
      <c r="R24" s="218"/>
      <c r="S24" s="218"/>
      <c r="T24" s="218"/>
      <c r="U24" s="218"/>
      <c r="V24" s="218"/>
      <c r="W24" s="218"/>
    </row>
    <row r="25" spans="1:23" ht="12.75">
      <c r="A25" s="6"/>
      <c r="B25" s="6"/>
      <c r="C25" s="6"/>
      <c r="D25" s="6"/>
      <c r="E25" s="6"/>
      <c r="F25" s="6"/>
      <c r="G25" s="218"/>
      <c r="H25" s="226">
        <v>2012</v>
      </c>
      <c r="I25" s="218"/>
      <c r="J25" s="218"/>
      <c r="K25" s="218"/>
      <c r="L25" s="218"/>
      <c r="M25" s="218"/>
      <c r="N25" s="218"/>
      <c r="O25" s="218"/>
      <c r="P25" s="218"/>
      <c r="Q25" s="218"/>
      <c r="R25" s="218"/>
      <c r="S25" s="218"/>
      <c r="T25" s="218"/>
      <c r="U25" s="218"/>
      <c r="V25" s="218"/>
      <c r="W25" s="218"/>
    </row>
    <row r="26" spans="1:23" ht="12.75">
      <c r="A26" s="6"/>
      <c r="B26" s="6"/>
      <c r="C26" s="6"/>
      <c r="D26" s="6"/>
      <c r="E26" s="6"/>
      <c r="F26" s="6"/>
      <c r="G26" s="218"/>
      <c r="H26" s="226">
        <v>2013</v>
      </c>
      <c r="I26" s="218"/>
      <c r="J26" s="218"/>
      <c r="K26" s="218"/>
      <c r="L26" s="218"/>
      <c r="M26" s="218"/>
      <c r="N26" s="218"/>
      <c r="O26" s="218"/>
      <c r="P26" s="218"/>
      <c r="Q26" s="218"/>
      <c r="R26" s="218"/>
      <c r="S26" s="218"/>
      <c r="T26" s="218"/>
      <c r="U26" s="218"/>
      <c r="V26" s="218"/>
      <c r="W26" s="218"/>
    </row>
    <row r="27" spans="1:23" ht="12.75">
      <c r="A27" s="6"/>
      <c r="B27" s="6"/>
      <c r="C27" s="21" t="s">
        <v>276</v>
      </c>
      <c r="D27" s="21"/>
      <c r="E27" s="205">
        <f>IF(D3&lt;F4,G4,G3)</f>
        <v>38312.55911111111</v>
      </c>
      <c r="F27" s="21"/>
      <c r="G27" s="218"/>
      <c r="H27" s="226">
        <v>2014</v>
      </c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218"/>
      <c r="V27" s="218"/>
      <c r="W27" s="218"/>
    </row>
    <row r="28" spans="1:23" ht="12.75">
      <c r="A28" s="6"/>
      <c r="B28" s="6"/>
      <c r="C28" s="23" t="s">
        <v>309</v>
      </c>
      <c r="D28" s="23"/>
      <c r="E28" s="207">
        <f>IF(F5=0,D3,F4)</f>
        <v>88312.55911111111</v>
      </c>
      <c r="F28" s="23"/>
      <c r="G28" s="218">
        <f>ROUND(E28/D3,5)</f>
        <v>1</v>
      </c>
      <c r="H28" s="226">
        <v>2015</v>
      </c>
      <c r="I28" s="218"/>
      <c r="J28" s="218"/>
      <c r="K28" s="218"/>
      <c r="L28" s="218"/>
      <c r="M28" s="227" t="s">
        <v>232</v>
      </c>
      <c r="N28" s="227"/>
      <c r="O28" s="218"/>
      <c r="P28" s="218"/>
      <c r="Q28" s="218"/>
      <c r="R28" s="218"/>
      <c r="S28" s="218"/>
      <c r="T28" s="218"/>
      <c r="U28" s="218"/>
      <c r="V28" s="218"/>
      <c r="W28" s="218"/>
    </row>
    <row r="29" spans="1:23" ht="12.75">
      <c r="A29" s="6"/>
      <c r="B29" s="6"/>
      <c r="C29" s="21" t="s">
        <v>22</v>
      </c>
      <c r="D29" s="21"/>
      <c r="E29" s="21"/>
      <c r="F29" s="51">
        <f>Buonuscita!K19*G28</f>
        <v>20857.3726816</v>
      </c>
      <c r="G29" s="218"/>
      <c r="H29" s="226">
        <v>2016</v>
      </c>
      <c r="I29" s="218"/>
      <c r="J29" s="218"/>
      <c r="K29" s="218"/>
      <c r="L29" s="218"/>
      <c r="M29" s="228">
        <v>7500</v>
      </c>
      <c r="N29" s="229">
        <v>70</v>
      </c>
      <c r="O29" s="218"/>
      <c r="P29" s="218"/>
      <c r="Q29" s="218"/>
      <c r="R29" s="218"/>
      <c r="S29" s="218"/>
      <c r="T29" s="218"/>
      <c r="U29" s="218"/>
      <c r="V29" s="218"/>
      <c r="W29" s="218"/>
    </row>
    <row r="30" spans="1:23" ht="12.75">
      <c r="A30" s="6"/>
      <c r="B30" s="6"/>
      <c r="C30" s="21" t="s">
        <v>23</v>
      </c>
      <c r="D30" s="21"/>
      <c r="E30" s="21"/>
      <c r="F30" s="51">
        <f>Buonuscita!K20</f>
        <v>13272.765000000001</v>
      </c>
      <c r="G30" s="218"/>
      <c r="H30" s="226">
        <v>2017</v>
      </c>
      <c r="I30" s="218"/>
      <c r="J30" s="218"/>
      <c r="K30" s="218"/>
      <c r="L30" s="218"/>
      <c r="M30" s="230">
        <v>28000</v>
      </c>
      <c r="N30" s="229">
        <f>50+20*N33</f>
        <v>58.878</v>
      </c>
      <c r="O30" s="218"/>
      <c r="P30" s="218"/>
      <c r="Q30" s="218"/>
      <c r="R30" s="218"/>
      <c r="S30" s="218"/>
      <c r="T30" s="218"/>
      <c r="U30" s="218"/>
      <c r="V30" s="218"/>
      <c r="W30" s="218"/>
    </row>
    <row r="31" spans="1:23" ht="12.75">
      <c r="A31" s="6"/>
      <c r="B31" s="6"/>
      <c r="C31" s="29" t="s">
        <v>24</v>
      </c>
      <c r="D31" s="29"/>
      <c r="E31" s="29"/>
      <c r="F31" s="48">
        <f>E28-F29-F30</f>
        <v>54182.421429511116</v>
      </c>
      <c r="G31" s="218"/>
      <c r="H31" s="226">
        <v>2018</v>
      </c>
      <c r="I31" s="218"/>
      <c r="J31" s="218"/>
      <c r="K31" s="218"/>
      <c r="L31" s="218"/>
      <c r="M31" s="230">
        <v>30000</v>
      </c>
      <c r="N31" s="229">
        <f>50*N34</f>
        <v>277.515</v>
      </c>
      <c r="O31" s="218"/>
      <c r="P31" s="218"/>
      <c r="Q31" s="218"/>
      <c r="R31" s="218"/>
      <c r="S31" s="218"/>
      <c r="T31" s="218"/>
      <c r="U31" s="218"/>
      <c r="V31" s="218"/>
      <c r="W31" s="218"/>
    </row>
    <row r="32" spans="1:23" ht="12.75">
      <c r="A32" s="6"/>
      <c r="B32" s="6"/>
      <c r="C32" s="21" t="s">
        <v>25</v>
      </c>
      <c r="D32" s="21"/>
      <c r="E32" s="21"/>
      <c r="F32" s="100">
        <f>(E28-F29-D7)/G17*12</f>
        <v>18899.421834091372</v>
      </c>
      <c r="G32" s="218"/>
      <c r="H32" s="218"/>
      <c r="I32" s="218"/>
      <c r="J32" s="218"/>
      <c r="K32" s="218"/>
      <c r="L32" s="218"/>
      <c r="M32" s="231" t="s">
        <v>233</v>
      </c>
      <c r="N32" s="232">
        <f>F32</f>
        <v>18899.421834091372</v>
      </c>
      <c r="O32" s="218"/>
      <c r="P32" s="218"/>
      <c r="Q32" s="218"/>
      <c r="R32" s="218"/>
      <c r="S32" s="218"/>
      <c r="T32" s="218"/>
      <c r="U32" s="218"/>
      <c r="V32" s="218"/>
      <c r="W32" s="218"/>
    </row>
    <row r="33" spans="1:23" ht="12.75">
      <c r="A33" s="6"/>
      <c r="B33" s="6"/>
      <c r="C33" s="21" t="s">
        <v>26</v>
      </c>
      <c r="D33" s="21"/>
      <c r="E33" s="21"/>
      <c r="F33" s="206">
        <f>IF(F32&gt;100000,F32*0.43-8610,IF(F32&gt;33500,F32*0.39-4610,IF(F32&gt;26000,F32*0.33-2600,F32*0.23)))</f>
        <v>4346.867021841016</v>
      </c>
      <c r="G33" s="218"/>
      <c r="H33" s="218"/>
      <c r="I33" s="218"/>
      <c r="J33" s="218"/>
      <c r="K33" s="218"/>
      <c r="L33" s="218"/>
      <c r="M33" s="233" t="s">
        <v>234</v>
      </c>
      <c r="N33" s="234">
        <f>ROUND((28000-N32)/20500,4)</f>
        <v>0.4439</v>
      </c>
      <c r="O33" s="218"/>
      <c r="P33" s="218"/>
      <c r="Q33" s="218"/>
      <c r="R33" s="218"/>
      <c r="S33" s="218"/>
      <c r="T33" s="218"/>
      <c r="U33" s="218"/>
      <c r="V33" s="218"/>
      <c r="W33" s="218"/>
    </row>
    <row r="34" spans="1:23" ht="12.75">
      <c r="A34" s="6"/>
      <c r="B34" s="6"/>
      <c r="C34" s="21" t="s">
        <v>27</v>
      </c>
      <c r="D34" s="21"/>
      <c r="E34" s="63">
        <f>ROUND(F33/F32,4)</f>
        <v>0.23</v>
      </c>
      <c r="F34" s="100"/>
      <c r="G34" s="218"/>
      <c r="H34" s="218"/>
      <c r="I34" s="218"/>
      <c r="J34" s="218"/>
      <c r="K34" s="218"/>
      <c r="L34" s="218"/>
      <c r="M34" s="235" t="s">
        <v>235</v>
      </c>
      <c r="N34" s="236">
        <f>ROUND((30000-N32)/2000,4)</f>
        <v>5.5503</v>
      </c>
      <c r="O34" s="218"/>
      <c r="P34" s="218"/>
      <c r="Q34" s="218"/>
      <c r="R34" s="218"/>
      <c r="S34" s="218"/>
      <c r="T34" s="218"/>
      <c r="U34" s="218"/>
      <c r="V34" s="218"/>
      <c r="W34" s="218"/>
    </row>
    <row r="35" spans="1:23" ht="12.75">
      <c r="A35" s="6"/>
      <c r="B35" s="6"/>
      <c r="C35" s="22"/>
      <c r="D35" s="21"/>
      <c r="E35" s="205"/>
      <c r="F35" s="21"/>
      <c r="G35" s="218"/>
      <c r="H35" s="218"/>
      <c r="I35" s="218"/>
      <c r="J35" s="218"/>
      <c r="K35" s="218"/>
      <c r="L35" s="218"/>
      <c r="M35" s="237">
        <v>1</v>
      </c>
      <c r="N35" s="238">
        <f>IF(N32&gt;M31,0,IF(N32&gt;M30,N31,IF(N32&gt;M29,N30,N29)))</f>
        <v>58.878</v>
      </c>
      <c r="O35" s="218"/>
      <c r="P35" s="218"/>
      <c r="Q35" s="218"/>
      <c r="R35" s="218"/>
      <c r="S35" s="218"/>
      <c r="T35" s="218"/>
      <c r="U35" s="218"/>
      <c r="V35" s="218"/>
      <c r="W35" s="218"/>
    </row>
    <row r="36" spans="1:23" ht="14.25" customHeight="1">
      <c r="A36" s="6"/>
      <c r="B36" s="6"/>
      <c r="C36" s="21" t="s">
        <v>28</v>
      </c>
      <c r="D36" s="21"/>
      <c r="E36" s="21"/>
      <c r="F36" s="100">
        <f>F31*E34-N36</f>
        <v>12403.078928787556</v>
      </c>
      <c r="G36" s="218"/>
      <c r="H36" s="218"/>
      <c r="I36" s="218"/>
      <c r="J36" s="218"/>
      <c r="K36" s="218"/>
      <c r="L36" s="218"/>
      <c r="M36" s="239" t="s">
        <v>236</v>
      </c>
      <c r="N36" s="240">
        <f>N35*M35</f>
        <v>58.878</v>
      </c>
      <c r="O36" s="218"/>
      <c r="P36" s="218"/>
      <c r="Q36" s="218"/>
      <c r="R36" s="218"/>
      <c r="S36" s="218"/>
      <c r="T36" s="218"/>
      <c r="U36" s="218"/>
      <c r="V36" s="218"/>
      <c r="W36" s="218"/>
    </row>
    <row r="37" spans="1:23" ht="12.75">
      <c r="A37" s="6"/>
      <c r="B37" s="6"/>
      <c r="C37" s="21" t="s">
        <v>123</v>
      </c>
      <c r="D37" s="21"/>
      <c r="E37" s="21"/>
      <c r="F37" s="100">
        <f>Buonuscita!K27</f>
        <v>0</v>
      </c>
      <c r="G37" s="218"/>
      <c r="H37" s="218"/>
      <c r="I37" s="218"/>
      <c r="J37" s="218"/>
      <c r="K37" s="218"/>
      <c r="L37" s="218"/>
      <c r="M37" s="218"/>
      <c r="N37" s="218"/>
      <c r="O37" s="218"/>
      <c r="P37" s="218"/>
      <c r="Q37" s="218"/>
      <c r="R37" s="218"/>
      <c r="S37" s="218"/>
      <c r="T37" s="218"/>
      <c r="U37" s="218"/>
      <c r="V37" s="218"/>
      <c r="W37" s="218"/>
    </row>
    <row r="38" spans="1:23" ht="12.75">
      <c r="A38" s="6"/>
      <c r="B38" s="6"/>
      <c r="C38" s="29" t="s">
        <v>277</v>
      </c>
      <c r="D38" s="21"/>
      <c r="E38" s="21"/>
      <c r="F38" s="48">
        <f>IF(E28=0,0,E28-F36-F37)</f>
        <v>75909.48018232356</v>
      </c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8"/>
      <c r="R38" s="218"/>
      <c r="S38" s="218"/>
      <c r="T38" s="218"/>
      <c r="U38" s="218"/>
      <c r="V38" s="218"/>
      <c r="W38" s="218"/>
    </row>
    <row r="39" spans="1:23" ht="12.75">
      <c r="A39" s="6"/>
      <c r="B39" s="6"/>
      <c r="C39" s="21" t="s">
        <v>278</v>
      </c>
      <c r="D39" s="21"/>
      <c r="E39" s="21"/>
      <c r="F39" s="100">
        <f>F24</f>
        <v>44335.64224896254</v>
      </c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8"/>
    </row>
    <row r="40" spans="1:23" ht="12.75">
      <c r="A40" s="6"/>
      <c r="B40" s="6"/>
      <c r="C40" s="23"/>
      <c r="D40" s="23"/>
      <c r="E40" s="23"/>
      <c r="F40" s="23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218"/>
      <c r="V40" s="218"/>
      <c r="W40" s="218"/>
    </row>
    <row r="41" spans="1:23" ht="12.75">
      <c r="A41" s="6"/>
      <c r="B41" s="6"/>
      <c r="C41" s="28" t="s">
        <v>279</v>
      </c>
      <c r="D41" s="28"/>
      <c r="E41" s="28"/>
      <c r="F41" s="49">
        <f>IF(E27=0,0,F38-F39)</f>
        <v>31573.83793336102</v>
      </c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8"/>
    </row>
    <row r="42" spans="1:23" ht="12.75">
      <c r="A42" s="6"/>
      <c r="B42" s="6"/>
      <c r="C42" s="6"/>
      <c r="D42" s="6"/>
      <c r="E42" s="6"/>
      <c r="F42" s="6"/>
      <c r="G42" s="218"/>
      <c r="H42" s="218"/>
      <c r="I42" s="218"/>
      <c r="J42" s="218"/>
      <c r="K42" s="218"/>
      <c r="L42" s="218"/>
      <c r="M42" s="218"/>
      <c r="N42" s="218"/>
      <c r="O42" s="218"/>
      <c r="P42" s="218"/>
      <c r="Q42" s="218"/>
      <c r="R42" s="218"/>
      <c r="S42" s="218"/>
      <c r="T42" s="218"/>
      <c r="U42" s="218"/>
      <c r="V42" s="218"/>
      <c r="W42" s="218"/>
    </row>
    <row r="43" spans="1:23" ht="12.75">
      <c r="A43" s="6"/>
      <c r="B43" s="6"/>
      <c r="C43" s="6"/>
      <c r="D43" s="6"/>
      <c r="E43" s="6"/>
      <c r="F43" s="6"/>
      <c r="G43" s="218"/>
      <c r="H43" s="218"/>
      <c r="I43" s="218"/>
      <c r="J43" s="218"/>
      <c r="K43" s="218"/>
      <c r="L43" s="218"/>
      <c r="M43" s="218"/>
      <c r="N43" s="218"/>
      <c r="O43" s="218"/>
      <c r="P43" s="218"/>
      <c r="Q43" s="218"/>
      <c r="R43" s="218"/>
      <c r="S43" s="218"/>
      <c r="T43" s="218"/>
      <c r="U43" s="218"/>
      <c r="V43" s="218"/>
      <c r="W43" s="218"/>
    </row>
    <row r="44" spans="1:23" ht="12.75">
      <c r="A44" s="6"/>
      <c r="B44" s="6"/>
      <c r="C44" s="6"/>
      <c r="D44" s="6"/>
      <c r="E44" s="6"/>
      <c r="F44" s="6"/>
      <c r="G44" s="218"/>
      <c r="H44" s="218"/>
      <c r="I44" s="218"/>
      <c r="J44" s="218"/>
      <c r="K44" s="218"/>
      <c r="L44" s="218"/>
      <c r="M44" s="227" t="s">
        <v>232</v>
      </c>
      <c r="N44" s="227"/>
      <c r="O44" s="218"/>
      <c r="P44" s="218"/>
      <c r="Q44" s="218"/>
      <c r="R44" s="218"/>
      <c r="S44" s="218"/>
      <c r="T44" s="218"/>
      <c r="U44" s="218"/>
      <c r="V44" s="218"/>
      <c r="W44" s="218"/>
    </row>
    <row r="45" spans="1:23" ht="12.75">
      <c r="A45" s="6"/>
      <c r="B45" s="6"/>
      <c r="C45" s="21" t="s">
        <v>280</v>
      </c>
      <c r="D45" s="21"/>
      <c r="E45" s="205">
        <f>IF(F5=0,0,G5)</f>
        <v>0</v>
      </c>
      <c r="F45" s="21"/>
      <c r="G45" s="218"/>
      <c r="H45" s="218"/>
      <c r="I45" s="218"/>
      <c r="J45" s="218"/>
      <c r="K45" s="218"/>
      <c r="L45" s="218"/>
      <c r="M45" s="228">
        <v>7500</v>
      </c>
      <c r="N45" s="229">
        <v>70</v>
      </c>
      <c r="O45" s="218"/>
      <c r="P45" s="218"/>
      <c r="Q45" s="218"/>
      <c r="R45" s="218"/>
      <c r="S45" s="218"/>
      <c r="T45" s="218"/>
      <c r="U45" s="218"/>
      <c r="V45" s="218"/>
      <c r="W45" s="218"/>
    </row>
    <row r="46" spans="1:23" ht="12.75">
      <c r="A46" s="6"/>
      <c r="B46" s="6"/>
      <c r="C46" s="23" t="s">
        <v>310</v>
      </c>
      <c r="D46" s="23"/>
      <c r="E46" s="207">
        <f>IF(F5=0,0,D3)</f>
        <v>0</v>
      </c>
      <c r="F46" s="23"/>
      <c r="G46" s="218"/>
      <c r="H46" s="218"/>
      <c r="I46" s="218"/>
      <c r="J46" s="218"/>
      <c r="K46" s="218"/>
      <c r="L46" s="218"/>
      <c r="M46" s="230">
        <v>28000</v>
      </c>
      <c r="N46" s="229">
        <f>50+20*N49</f>
        <v>83.018</v>
      </c>
      <c r="O46" s="218"/>
      <c r="P46" s="218"/>
      <c r="Q46" s="218"/>
      <c r="R46" s="218"/>
      <c r="S46" s="218"/>
      <c r="T46" s="218"/>
      <c r="U46" s="218"/>
      <c r="V46" s="218"/>
      <c r="W46" s="218"/>
    </row>
    <row r="47" spans="1:23" ht="12.75">
      <c r="A47" s="6"/>
      <c r="B47" s="6"/>
      <c r="C47" s="21" t="s">
        <v>22</v>
      </c>
      <c r="D47" s="21"/>
      <c r="E47" s="21"/>
      <c r="F47" s="51">
        <f>Buonuscita!K19</f>
        <v>20857.3726816</v>
      </c>
      <c r="G47" s="218"/>
      <c r="H47" s="218"/>
      <c r="I47" s="218"/>
      <c r="J47" s="218"/>
      <c r="K47" s="218"/>
      <c r="L47" s="218"/>
      <c r="M47" s="230">
        <v>30000</v>
      </c>
      <c r="N47" s="229">
        <f>50*N50</f>
        <v>896.095</v>
      </c>
      <c r="O47" s="218"/>
      <c r="P47" s="218"/>
      <c r="Q47" s="218"/>
      <c r="R47" s="218"/>
      <c r="S47" s="218"/>
      <c r="T47" s="218"/>
      <c r="U47" s="218"/>
      <c r="V47" s="218"/>
      <c r="W47" s="218"/>
    </row>
    <row r="48" spans="1:23" ht="12.75">
      <c r="A48" s="6"/>
      <c r="B48" s="6"/>
      <c r="C48" s="21" t="s">
        <v>23</v>
      </c>
      <c r="D48" s="21"/>
      <c r="E48" s="21"/>
      <c r="F48" s="51">
        <f>F30</f>
        <v>13272.765000000001</v>
      </c>
      <c r="G48" s="6"/>
      <c r="H48" s="6"/>
      <c r="I48" s="6"/>
      <c r="J48" s="6"/>
      <c r="K48" s="6"/>
      <c r="L48" s="6"/>
      <c r="M48" s="231" t="s">
        <v>233</v>
      </c>
      <c r="N48" s="232">
        <f>F50</f>
        <v>-5843.765402269438</v>
      </c>
      <c r="O48" s="6"/>
      <c r="P48" s="6"/>
      <c r="Q48" s="6"/>
      <c r="R48" s="6"/>
      <c r="S48" s="6"/>
      <c r="T48" s="6"/>
      <c r="U48" s="6"/>
      <c r="V48" s="6"/>
      <c r="W48" s="6"/>
    </row>
    <row r="49" spans="1:23" ht="12.75">
      <c r="A49" s="6"/>
      <c r="B49" s="6"/>
      <c r="C49" s="29" t="s">
        <v>24</v>
      </c>
      <c r="D49" s="29"/>
      <c r="E49" s="29"/>
      <c r="F49" s="48">
        <f>E46-F47-F48</f>
        <v>-34130.137681600005</v>
      </c>
      <c r="G49" s="6"/>
      <c r="H49" s="6"/>
      <c r="I49" s="6"/>
      <c r="J49" s="6"/>
      <c r="K49" s="6"/>
      <c r="L49" s="6"/>
      <c r="M49" s="233" t="s">
        <v>234</v>
      </c>
      <c r="N49" s="234">
        <f>ROUND((28000-N48)/20500,4)</f>
        <v>1.6509</v>
      </c>
      <c r="O49" s="6"/>
      <c r="P49" s="6"/>
      <c r="Q49" s="6"/>
      <c r="R49" s="6"/>
      <c r="S49" s="6"/>
      <c r="T49" s="6"/>
      <c r="U49" s="6"/>
      <c r="V49" s="6"/>
      <c r="W49" s="6"/>
    </row>
    <row r="50" spans="1:23" ht="12.75">
      <c r="A50" s="6"/>
      <c r="B50" s="6"/>
      <c r="C50" s="21" t="s">
        <v>25</v>
      </c>
      <c r="D50" s="21"/>
      <c r="E50" s="21"/>
      <c r="F50" s="100">
        <f>(E46-F47-D7)/G17*12</f>
        <v>-5843.765402269438</v>
      </c>
      <c r="G50" s="6"/>
      <c r="H50" s="6"/>
      <c r="I50" s="6"/>
      <c r="J50" s="6"/>
      <c r="K50" s="6"/>
      <c r="L50" s="6"/>
      <c r="M50" s="235" t="s">
        <v>235</v>
      </c>
      <c r="N50" s="236">
        <f>ROUND((30000-N48)/2000,4)</f>
        <v>17.9219</v>
      </c>
      <c r="O50" s="6"/>
      <c r="P50" s="6"/>
      <c r="Q50" s="6"/>
      <c r="R50" s="6"/>
      <c r="S50" s="6"/>
      <c r="T50" s="6"/>
      <c r="U50" s="6"/>
      <c r="V50" s="6"/>
      <c r="W50" s="6"/>
    </row>
    <row r="51" spans="1:23" ht="12.75">
      <c r="A51" s="6"/>
      <c r="B51" s="6"/>
      <c r="C51" s="21" t="s">
        <v>26</v>
      </c>
      <c r="D51" s="21"/>
      <c r="E51" s="21"/>
      <c r="F51" s="206">
        <f>IF(F50&gt;100000,F50*0.43-8610,IF(F50&gt;33500,F50*0.39-4610,IF(F50&gt;26000,F50*0.33-2600,F50*0.23)))</f>
        <v>-1344.0660425219708</v>
      </c>
      <c r="G51" s="6"/>
      <c r="H51" s="6"/>
      <c r="I51" s="6"/>
      <c r="J51" s="6"/>
      <c r="K51" s="6"/>
      <c r="L51" s="6"/>
      <c r="M51" s="237">
        <v>1</v>
      </c>
      <c r="N51" s="238">
        <f>IF(N48&gt;M47,0,IF(N48&gt;M46,N47,IF(N48&gt;M45,N46,N45)))</f>
        <v>70</v>
      </c>
      <c r="O51" s="6"/>
      <c r="P51" s="6"/>
      <c r="Q51" s="6"/>
      <c r="R51" s="6"/>
      <c r="S51" s="6"/>
      <c r="T51" s="6"/>
      <c r="U51" s="6"/>
      <c r="V51" s="6"/>
      <c r="W51" s="6"/>
    </row>
    <row r="52" spans="1:23" ht="12.75">
      <c r="A52" s="6"/>
      <c r="B52" s="6"/>
      <c r="C52" s="21" t="s">
        <v>27</v>
      </c>
      <c r="D52" s="21"/>
      <c r="E52" s="63">
        <f>ROUND(F51/F50,4)</f>
        <v>0.23</v>
      </c>
      <c r="F52" s="100"/>
      <c r="G52" s="6"/>
      <c r="H52" s="6"/>
      <c r="I52" s="6"/>
      <c r="J52" s="6"/>
      <c r="K52" s="6"/>
      <c r="L52" s="6"/>
      <c r="M52" s="239" t="s">
        <v>236</v>
      </c>
      <c r="N52" s="240">
        <f>N51*M51</f>
        <v>70</v>
      </c>
      <c r="O52" s="6"/>
      <c r="P52" s="6"/>
      <c r="Q52" s="6"/>
      <c r="R52" s="6"/>
      <c r="S52" s="6"/>
      <c r="T52" s="6"/>
      <c r="U52" s="6"/>
      <c r="V52" s="6"/>
      <c r="W52" s="6"/>
    </row>
    <row r="53" spans="1:23" ht="12.75">
      <c r="A53" s="6"/>
      <c r="B53" s="6"/>
      <c r="C53" s="22"/>
      <c r="D53" s="21"/>
      <c r="E53" s="205"/>
      <c r="F53" s="21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ht="12.75">
      <c r="A54" s="6"/>
      <c r="B54" s="6"/>
      <c r="C54" s="21" t="s">
        <v>28</v>
      </c>
      <c r="D54" s="21"/>
      <c r="E54" s="21"/>
      <c r="F54" s="100">
        <f>F49*E52-N52</f>
        <v>-7919.931666768001</v>
      </c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</row>
    <row r="55" spans="1:23" ht="12.75">
      <c r="A55" s="6"/>
      <c r="B55" s="6"/>
      <c r="C55" s="21" t="s">
        <v>123</v>
      </c>
      <c r="D55" s="21"/>
      <c r="E55" s="21"/>
      <c r="F55" s="100">
        <f>Buonuscita!K27</f>
        <v>0</v>
      </c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ht="12.75">
      <c r="A56" s="6"/>
      <c r="B56" s="6"/>
      <c r="C56" s="29" t="s">
        <v>277</v>
      </c>
      <c r="D56" s="21"/>
      <c r="E56" s="21"/>
      <c r="F56" s="48">
        <f>IF(E46=0,0,E46-F54-F55)</f>
        <v>0</v>
      </c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</row>
    <row r="57" spans="1:23" ht="12.75">
      <c r="A57" s="6"/>
      <c r="B57" s="6"/>
      <c r="C57" s="21" t="s">
        <v>281</v>
      </c>
      <c r="D57" s="21"/>
      <c r="E57" s="21"/>
      <c r="F57" s="100">
        <f>F24+F41</f>
        <v>75909.48018232356</v>
      </c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ht="12.75">
      <c r="A58" s="6"/>
      <c r="B58" s="6"/>
      <c r="C58" s="23"/>
      <c r="D58" s="23"/>
      <c r="E58" s="23"/>
      <c r="F58" s="23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</row>
    <row r="59" spans="1:23" ht="12.75">
      <c r="A59" s="6"/>
      <c r="B59" s="6"/>
      <c r="C59" s="28" t="s">
        <v>282</v>
      </c>
      <c r="D59" s="28"/>
      <c r="E59" s="28"/>
      <c r="F59" s="49">
        <f>IF(E45=0,0,F56-F57)</f>
        <v>0</v>
      </c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ht="12.75">
      <c r="A60" s="6"/>
      <c r="B60" s="6"/>
      <c r="C60" s="22"/>
      <c r="D60" s="23"/>
      <c r="E60" s="23"/>
      <c r="F60" s="23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</row>
    <row r="61" spans="1:23" ht="12.75">
      <c r="A61" s="6"/>
      <c r="B61" s="6"/>
      <c r="C61" s="22"/>
      <c r="D61" s="23"/>
      <c r="E61" s="23"/>
      <c r="F61" s="23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ht="12.75">
      <c r="A62" s="6"/>
      <c r="B62" s="6"/>
      <c r="C62" s="22" t="s">
        <v>314</v>
      </c>
      <c r="D62" s="23"/>
      <c r="E62" s="23"/>
      <c r="F62" s="23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</row>
    <row r="63" spans="1:23" ht="12.75">
      <c r="A63" s="6"/>
      <c r="B63" s="6"/>
      <c r="C63" s="22" t="s">
        <v>313</v>
      </c>
      <c r="D63" s="23"/>
      <c r="E63" s="23"/>
      <c r="F63" s="23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ht="12.75">
      <c r="A64" s="6"/>
      <c r="B64" s="6"/>
      <c r="C64" s="22"/>
      <c r="D64" s="23"/>
      <c r="E64" s="23"/>
      <c r="F64" s="23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</row>
    <row r="65" spans="1:23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</row>
    <row r="67" spans="1:23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</row>
    <row r="68" spans="1:23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</row>
    <row r="69" spans="1:23" ht="15">
      <c r="A69" s="6"/>
      <c r="B69" s="6"/>
      <c r="C69" s="244" t="s">
        <v>330</v>
      </c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</row>
    <row r="71" spans="1:23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</row>
    <row r="73" spans="1:23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</row>
    <row r="75" spans="1:23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</row>
    <row r="77" spans="1:23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</row>
    <row r="79" spans="1:23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</row>
    <row r="81" spans="1:22" ht="12.75">
      <c r="A81" s="25"/>
      <c r="B81" s="22"/>
      <c r="C81" s="208"/>
      <c r="D81" s="208"/>
      <c r="E81" s="208"/>
      <c r="F81" s="208"/>
      <c r="G81" s="208"/>
      <c r="H81" s="208"/>
      <c r="I81" s="208"/>
      <c r="J81" s="208"/>
      <c r="K81" s="208"/>
      <c r="L81" s="208"/>
      <c r="M81" s="21"/>
      <c r="N81" s="21"/>
      <c r="O81" s="21"/>
      <c r="P81" s="21"/>
      <c r="Q81" s="21"/>
      <c r="R81" s="21"/>
      <c r="S81" s="21"/>
      <c r="T81" s="21"/>
      <c r="U81" s="21"/>
      <c r="V81" s="21"/>
    </row>
    <row r="82" spans="1:22" ht="12.75">
      <c r="A82" s="25"/>
      <c r="B82" s="22"/>
      <c r="C82" s="209" t="str">
        <f>Buonuscita!A3</f>
        <v>minapoli software</v>
      </c>
      <c r="D82" s="208"/>
      <c r="E82" s="208"/>
      <c r="F82" s="208"/>
      <c r="G82" s="208"/>
      <c r="H82" s="208"/>
      <c r="I82" s="208"/>
      <c r="J82" s="208"/>
      <c r="K82" s="208"/>
      <c r="L82" s="208"/>
      <c r="M82" s="21"/>
      <c r="N82" s="21"/>
      <c r="O82" s="21"/>
      <c r="P82" s="21"/>
      <c r="Q82" s="21"/>
      <c r="R82" s="21"/>
      <c r="S82" s="21"/>
      <c r="T82" s="21"/>
      <c r="U82" s="21"/>
      <c r="V82" s="21"/>
    </row>
    <row r="83" spans="1:22" ht="12.75">
      <c r="A83" s="25"/>
      <c r="B83" s="22"/>
      <c r="C83" s="208"/>
      <c r="D83" s="208"/>
      <c r="E83" s="208"/>
      <c r="F83" s="208"/>
      <c r="G83" s="208"/>
      <c r="H83" s="208"/>
      <c r="I83" s="208"/>
      <c r="J83" s="208"/>
      <c r="K83" s="208"/>
      <c r="L83" s="208"/>
      <c r="M83" s="21"/>
      <c r="N83" s="21"/>
      <c r="O83" s="21"/>
      <c r="P83" s="21"/>
      <c r="Q83" s="21"/>
      <c r="R83" s="21"/>
      <c r="S83" s="21"/>
      <c r="T83" s="21"/>
      <c r="U83" s="21"/>
      <c r="V83" s="21"/>
    </row>
    <row r="84" spans="1:22" ht="12.75">
      <c r="A84" s="25"/>
      <c r="B84" s="22"/>
      <c r="C84" s="208"/>
      <c r="D84" s="208"/>
      <c r="E84" s="208"/>
      <c r="F84" s="208"/>
      <c r="G84" s="208"/>
      <c r="H84" s="208"/>
      <c r="I84" s="208"/>
      <c r="J84" s="208"/>
      <c r="K84" s="208"/>
      <c r="L84" s="208"/>
      <c r="M84" s="21"/>
      <c r="N84" s="21"/>
      <c r="O84" s="21"/>
      <c r="P84" s="21"/>
      <c r="Q84" s="21"/>
      <c r="R84" s="21"/>
      <c r="S84" s="21"/>
      <c r="T84" s="21"/>
      <c r="U84" s="21"/>
      <c r="V84" s="21"/>
    </row>
    <row r="85" spans="1:22" ht="12.75">
      <c r="A85" s="25"/>
      <c r="B85" s="22"/>
      <c r="C85" s="209" t="str">
        <f>Buonuscita!A6</f>
        <v>BIANCHI BIANCA</v>
      </c>
      <c r="D85" s="208"/>
      <c r="E85" s="208"/>
      <c r="F85" s="208"/>
      <c r="G85" s="208"/>
      <c r="H85" s="208"/>
      <c r="I85" s="208"/>
      <c r="J85" s="208"/>
      <c r="K85" s="208"/>
      <c r="L85" s="208"/>
      <c r="M85" s="21"/>
      <c r="N85" s="21"/>
      <c r="O85" s="21"/>
      <c r="P85" s="21"/>
      <c r="Q85" s="21"/>
      <c r="R85" s="21"/>
      <c r="S85" s="21"/>
      <c r="T85" s="21"/>
      <c r="U85" s="21"/>
      <c r="V85" s="21"/>
    </row>
    <row r="86" spans="1:22" ht="12.75">
      <c r="A86" s="25"/>
      <c r="B86" s="22"/>
      <c r="C86" s="208"/>
      <c r="D86" s="208"/>
      <c r="E86" s="208"/>
      <c r="F86" s="208"/>
      <c r="G86" s="208"/>
      <c r="H86" s="208"/>
      <c r="I86" s="208"/>
      <c r="J86" s="208"/>
      <c r="K86" s="208"/>
      <c r="L86" s="208"/>
      <c r="M86" s="21"/>
      <c r="N86" s="21"/>
      <c r="O86" s="21"/>
      <c r="P86" s="21"/>
      <c r="Q86" s="21"/>
      <c r="R86" s="21"/>
      <c r="S86" s="21"/>
      <c r="T86" s="21"/>
      <c r="U86" s="21"/>
      <c r="V86" s="21"/>
    </row>
    <row r="87" spans="1:22" ht="12.75">
      <c r="A87" s="25"/>
      <c r="B87" s="22"/>
      <c r="C87" s="208"/>
      <c r="D87" s="208"/>
      <c r="E87" s="208"/>
      <c r="F87" s="208"/>
      <c r="G87" s="208"/>
      <c r="H87" s="208"/>
      <c r="I87" s="208"/>
      <c r="J87" s="208"/>
      <c r="K87" s="208"/>
      <c r="L87" s="208"/>
      <c r="M87" s="21"/>
      <c r="N87" s="21"/>
      <c r="O87" s="21"/>
      <c r="P87" s="21"/>
      <c r="Q87" s="21"/>
      <c r="R87" s="21"/>
      <c r="S87" s="21"/>
      <c r="T87" s="21"/>
      <c r="U87" s="21"/>
      <c r="V87" s="21"/>
    </row>
    <row r="88" spans="1:22" ht="12.75">
      <c r="A88" s="25"/>
      <c r="B88" s="22"/>
      <c r="C88" s="208"/>
      <c r="D88" s="208"/>
      <c r="E88" s="208"/>
      <c r="F88" s="208"/>
      <c r="G88" s="208"/>
      <c r="H88" s="208"/>
      <c r="I88" s="208"/>
      <c r="J88" s="208"/>
      <c r="K88" s="208"/>
      <c r="L88" s="208"/>
      <c r="M88" s="21"/>
      <c r="N88" s="21"/>
      <c r="O88" s="21"/>
      <c r="P88" s="21"/>
      <c r="Q88" s="21"/>
      <c r="R88" s="21"/>
      <c r="S88" s="21"/>
      <c r="T88" s="21"/>
      <c r="U88" s="21"/>
      <c r="V88" s="21"/>
    </row>
    <row r="89" spans="1:22" ht="12.75">
      <c r="A89" s="25"/>
      <c r="B89" s="22"/>
      <c r="D89" s="210" t="s">
        <v>284</v>
      </c>
      <c r="E89" s="210" t="s">
        <v>285</v>
      </c>
      <c r="F89" s="210" t="s">
        <v>286</v>
      </c>
      <c r="G89" s="208"/>
      <c r="H89" s="208"/>
      <c r="I89" s="208"/>
      <c r="J89" s="208"/>
      <c r="K89" s="208"/>
      <c r="L89" s="208"/>
      <c r="M89" s="21"/>
      <c r="N89" s="21"/>
      <c r="O89" s="21"/>
      <c r="P89" s="21"/>
      <c r="Q89" s="21"/>
      <c r="R89" s="21"/>
      <c r="S89" s="21"/>
      <c r="T89" s="21"/>
      <c r="U89" s="21"/>
      <c r="V89" s="21"/>
    </row>
    <row r="90" spans="1:22" ht="12.75">
      <c r="A90" s="25"/>
      <c r="B90" s="22"/>
      <c r="C90" s="209" t="s">
        <v>283</v>
      </c>
      <c r="D90" s="211">
        <f>D3</f>
        <v>88312.55911111111</v>
      </c>
      <c r="E90" s="212">
        <f>D4</f>
        <v>12403.078928787556</v>
      </c>
      <c r="F90" s="212">
        <f>D5</f>
        <v>75909.48018232356</v>
      </c>
      <c r="G90" s="208"/>
      <c r="H90" s="208"/>
      <c r="I90" s="208"/>
      <c r="J90" s="208"/>
      <c r="K90" s="208"/>
      <c r="L90" s="208"/>
      <c r="M90" s="21"/>
      <c r="N90" s="21"/>
      <c r="O90" s="21"/>
      <c r="P90" s="21"/>
      <c r="Q90" s="21"/>
      <c r="R90" s="21"/>
      <c r="S90" s="21"/>
      <c r="T90" s="21"/>
      <c r="U90" s="21"/>
      <c r="V90" s="21"/>
    </row>
    <row r="91" spans="1:22" ht="12.75">
      <c r="A91" s="25"/>
      <c r="B91" s="22"/>
      <c r="C91" s="208"/>
      <c r="D91" s="208"/>
      <c r="E91" s="208"/>
      <c r="F91" s="208"/>
      <c r="G91" s="208"/>
      <c r="H91" s="208"/>
      <c r="I91" s="208"/>
      <c r="J91" s="208"/>
      <c r="K91" s="208"/>
      <c r="L91" s="208"/>
      <c r="M91" s="21"/>
      <c r="N91" s="21"/>
      <c r="O91" s="21"/>
      <c r="P91" s="21"/>
      <c r="Q91" s="21"/>
      <c r="R91" s="21"/>
      <c r="S91" s="21"/>
      <c r="T91" s="21"/>
      <c r="U91" s="21"/>
      <c r="V91" s="21"/>
    </row>
    <row r="92" spans="1:22" ht="12.75">
      <c r="A92" s="25"/>
      <c r="B92" s="22"/>
      <c r="C92" s="208"/>
      <c r="D92" s="208"/>
      <c r="E92" s="208"/>
      <c r="F92" s="208"/>
      <c r="G92" s="208"/>
      <c r="H92" s="208"/>
      <c r="I92" s="208"/>
      <c r="J92" s="208"/>
      <c r="K92" s="208"/>
      <c r="L92" s="208"/>
      <c r="M92" s="21"/>
      <c r="N92" s="21"/>
      <c r="O92" s="21"/>
      <c r="P92" s="21"/>
      <c r="Q92" s="21"/>
      <c r="R92" s="21"/>
      <c r="S92" s="21"/>
      <c r="T92" s="21"/>
      <c r="U92" s="21"/>
      <c r="V92" s="21"/>
    </row>
    <row r="93" spans="1:22" ht="12.75">
      <c r="A93" s="25"/>
      <c r="B93" s="22"/>
      <c r="C93" s="209" t="s">
        <v>287</v>
      </c>
      <c r="D93" s="213">
        <f>E13</f>
        <v>50000</v>
      </c>
      <c r="E93" s="214">
        <f>F21</f>
        <v>5664.357751037462</v>
      </c>
      <c r="F93" s="214">
        <f>F24</f>
        <v>44335.64224896254</v>
      </c>
      <c r="G93" s="208"/>
      <c r="H93" s="208"/>
      <c r="I93" s="208"/>
      <c r="J93" s="208"/>
      <c r="K93" s="208"/>
      <c r="L93" s="208"/>
      <c r="M93" s="21"/>
      <c r="N93" s="21"/>
      <c r="O93" s="21"/>
      <c r="P93" s="21"/>
      <c r="Q93" s="21"/>
      <c r="R93" s="21"/>
      <c r="S93" s="21"/>
      <c r="T93" s="21"/>
      <c r="U93" s="21"/>
      <c r="V93" s="21"/>
    </row>
    <row r="94" spans="1:22" ht="12.75">
      <c r="A94" s="25"/>
      <c r="B94" s="22"/>
      <c r="C94" s="209"/>
      <c r="D94" s="208"/>
      <c r="E94" s="208"/>
      <c r="F94" s="208"/>
      <c r="G94" s="208"/>
      <c r="H94" s="208"/>
      <c r="I94" s="208"/>
      <c r="J94" s="208"/>
      <c r="K94" s="208"/>
      <c r="L94" s="208"/>
      <c r="M94" s="21"/>
      <c r="N94" s="21"/>
      <c r="O94" s="21"/>
      <c r="P94" s="21"/>
      <c r="Q94" s="21"/>
      <c r="R94" s="21"/>
      <c r="S94" s="21"/>
      <c r="T94" s="21"/>
      <c r="U94" s="21"/>
      <c r="V94" s="21"/>
    </row>
    <row r="95" spans="1:22" ht="12.75">
      <c r="A95" s="25"/>
      <c r="B95" s="22"/>
      <c r="C95" s="209" t="s">
        <v>288</v>
      </c>
      <c r="D95" s="213">
        <f>E27</f>
        <v>38312.55911111111</v>
      </c>
      <c r="E95" s="214">
        <f>IF(E27=0,0,F36-E93)</f>
        <v>6738.721177750094</v>
      </c>
      <c r="F95" s="214">
        <f>F41</f>
        <v>31573.83793336102</v>
      </c>
      <c r="G95" s="208"/>
      <c r="H95" s="208"/>
      <c r="I95" s="208"/>
      <c r="J95" s="208"/>
      <c r="K95" s="208"/>
      <c r="L95" s="208"/>
      <c r="M95" s="21"/>
      <c r="N95" s="21"/>
      <c r="O95" s="21"/>
      <c r="P95" s="21"/>
      <c r="Q95" s="21"/>
      <c r="R95" s="21"/>
      <c r="S95" s="21"/>
      <c r="T95" s="21"/>
      <c r="U95" s="21"/>
      <c r="V95" s="21"/>
    </row>
    <row r="96" spans="1:22" ht="12.75">
      <c r="A96" s="25"/>
      <c r="B96" s="22"/>
      <c r="C96" s="209"/>
      <c r="D96" s="208"/>
      <c r="E96" s="208"/>
      <c r="F96" s="208"/>
      <c r="G96" s="208"/>
      <c r="H96" s="208"/>
      <c r="I96" s="208"/>
      <c r="J96" s="208"/>
      <c r="K96" s="208"/>
      <c r="L96" s="208"/>
      <c r="M96" s="21"/>
      <c r="N96" s="21"/>
      <c r="O96" s="21"/>
      <c r="P96" s="21"/>
      <c r="Q96" s="21"/>
      <c r="R96" s="21"/>
      <c r="S96" s="21"/>
      <c r="T96" s="21"/>
      <c r="U96" s="21"/>
      <c r="V96" s="21"/>
    </row>
    <row r="97" spans="1:22" ht="12.75">
      <c r="A97" s="25"/>
      <c r="B97" s="22"/>
      <c r="C97" s="209" t="s">
        <v>289</v>
      </c>
      <c r="D97" s="215">
        <f>E45</f>
        <v>0</v>
      </c>
      <c r="E97" s="216">
        <f>IF(E45=0,0,F54-E93-E95)</f>
        <v>0</v>
      </c>
      <c r="F97" s="216">
        <f>F59</f>
        <v>0</v>
      </c>
      <c r="G97" s="208"/>
      <c r="H97" s="208"/>
      <c r="I97" s="208"/>
      <c r="J97" s="208"/>
      <c r="K97" s="208"/>
      <c r="L97" s="208"/>
      <c r="M97" s="21"/>
      <c r="N97" s="21"/>
      <c r="O97" s="21"/>
      <c r="P97" s="21"/>
      <c r="Q97" s="21"/>
      <c r="R97" s="21"/>
      <c r="S97" s="21"/>
      <c r="T97" s="21"/>
      <c r="U97" s="21"/>
      <c r="V97" s="21"/>
    </row>
    <row r="98" spans="1:22" ht="12.75">
      <c r="A98" s="25"/>
      <c r="B98" s="22"/>
      <c r="C98" s="208"/>
      <c r="D98" s="208"/>
      <c r="E98" s="208"/>
      <c r="F98" s="208"/>
      <c r="G98" s="208"/>
      <c r="H98" s="208"/>
      <c r="I98" s="208"/>
      <c r="J98" s="208"/>
      <c r="K98" s="208"/>
      <c r="L98" s="208"/>
      <c r="M98" s="21"/>
      <c r="N98" s="21"/>
      <c r="O98" s="21"/>
      <c r="P98" s="21"/>
      <c r="Q98" s="21"/>
      <c r="R98" s="21"/>
      <c r="S98" s="21"/>
      <c r="T98" s="21"/>
      <c r="U98" s="21"/>
      <c r="V98" s="21"/>
    </row>
    <row r="99" spans="1:22" ht="12.75">
      <c r="A99" s="25"/>
      <c r="B99" s="22"/>
      <c r="C99" s="208"/>
      <c r="D99" s="208"/>
      <c r="E99" s="208"/>
      <c r="F99" s="208"/>
      <c r="G99" s="208"/>
      <c r="H99" s="208"/>
      <c r="I99" s="208"/>
      <c r="J99" s="208"/>
      <c r="K99" s="208"/>
      <c r="L99" s="208"/>
      <c r="M99" s="21"/>
      <c r="N99" s="21"/>
      <c r="O99" s="21"/>
      <c r="P99" s="21"/>
      <c r="Q99" s="21"/>
      <c r="R99" s="21"/>
      <c r="S99" s="21"/>
      <c r="T99" s="21"/>
      <c r="U99" s="21"/>
      <c r="V99" s="21"/>
    </row>
    <row r="100" spans="1:22" ht="12.75">
      <c r="A100" s="25"/>
      <c r="B100" s="22"/>
      <c r="C100" s="208"/>
      <c r="D100" s="208"/>
      <c r="E100" s="208"/>
      <c r="F100" s="208"/>
      <c r="G100" s="208"/>
      <c r="H100" s="208"/>
      <c r="I100" s="208"/>
      <c r="J100" s="208"/>
      <c r="K100" s="208"/>
      <c r="L100" s="208"/>
      <c r="M100" s="21"/>
      <c r="N100" s="21"/>
      <c r="O100" s="21"/>
      <c r="P100" s="21"/>
      <c r="Q100" s="21"/>
      <c r="R100" s="21"/>
      <c r="S100" s="21"/>
      <c r="T100" s="21"/>
      <c r="U100" s="21"/>
      <c r="V100" s="21"/>
    </row>
    <row r="101" spans="1:22" ht="12.75">
      <c r="A101" s="25"/>
      <c r="B101" s="22"/>
      <c r="C101" s="208"/>
      <c r="D101" s="208"/>
      <c r="E101" s="208"/>
      <c r="F101" s="208"/>
      <c r="G101" s="208"/>
      <c r="H101" s="208"/>
      <c r="I101" s="208"/>
      <c r="J101" s="208"/>
      <c r="K101" s="208"/>
      <c r="L101" s="208"/>
      <c r="M101" s="21"/>
      <c r="N101" s="21"/>
      <c r="O101" s="21"/>
      <c r="P101" s="21"/>
      <c r="Q101" s="21"/>
      <c r="R101" s="21"/>
      <c r="S101" s="21"/>
      <c r="T101" s="21"/>
      <c r="U101" s="21"/>
      <c r="V101" s="21"/>
    </row>
    <row r="102" spans="1:22" ht="12.75">
      <c r="A102" s="25"/>
      <c r="B102" s="22"/>
      <c r="C102" s="241">
        <f ca="1">TODAY()</f>
        <v>42933</v>
      </c>
      <c r="D102" s="208"/>
      <c r="E102" s="208"/>
      <c r="F102" s="208"/>
      <c r="G102" s="208"/>
      <c r="H102" s="208"/>
      <c r="I102" s="208"/>
      <c r="J102" s="208"/>
      <c r="K102" s="208"/>
      <c r="L102" s="208"/>
      <c r="M102" s="21"/>
      <c r="N102" s="21"/>
      <c r="O102" s="21"/>
      <c r="P102" s="21"/>
      <c r="Q102" s="21"/>
      <c r="R102" s="21"/>
      <c r="S102" s="21"/>
      <c r="T102" s="21"/>
      <c r="U102" s="21"/>
      <c r="V102" s="21"/>
    </row>
    <row r="103" spans="1:22" ht="12.75">
      <c r="A103" s="25"/>
      <c r="B103" s="22"/>
      <c r="C103" s="208"/>
      <c r="D103" s="208"/>
      <c r="E103" s="208"/>
      <c r="F103" s="208"/>
      <c r="G103" s="208"/>
      <c r="H103" s="208"/>
      <c r="I103" s="208"/>
      <c r="J103" s="208"/>
      <c r="K103" s="208"/>
      <c r="L103" s="208"/>
      <c r="M103" s="21"/>
      <c r="N103" s="21"/>
      <c r="O103" s="21"/>
      <c r="P103" s="21"/>
      <c r="Q103" s="21"/>
      <c r="R103" s="21"/>
      <c r="S103" s="21"/>
      <c r="T103" s="21"/>
      <c r="U103" s="21"/>
      <c r="V103" s="21"/>
    </row>
    <row r="104" spans="1:22" ht="12.75">
      <c r="A104" s="25"/>
      <c r="B104" s="22"/>
      <c r="C104" s="208"/>
      <c r="D104" s="208"/>
      <c r="E104" s="208"/>
      <c r="F104" s="208"/>
      <c r="G104" s="208"/>
      <c r="H104" s="208"/>
      <c r="I104" s="208"/>
      <c r="J104" s="208"/>
      <c r="K104" s="208"/>
      <c r="L104" s="208"/>
      <c r="M104" s="21"/>
      <c r="N104" s="21"/>
      <c r="O104" s="21"/>
      <c r="P104" s="21"/>
      <c r="Q104" s="21"/>
      <c r="R104" s="21"/>
      <c r="S104" s="21"/>
      <c r="T104" s="21"/>
      <c r="U104" s="21"/>
      <c r="V104" s="21"/>
    </row>
    <row r="105" spans="1:22" ht="12.75">
      <c r="A105" s="25"/>
      <c r="B105" s="22"/>
      <c r="C105" s="208"/>
      <c r="D105" s="208"/>
      <c r="E105" s="208"/>
      <c r="F105" s="208"/>
      <c r="G105" s="208"/>
      <c r="H105" s="208"/>
      <c r="I105" s="208"/>
      <c r="J105" s="208"/>
      <c r="K105" s="208"/>
      <c r="L105" s="208"/>
      <c r="M105" s="21"/>
      <c r="N105" s="21"/>
      <c r="O105" s="21"/>
      <c r="P105" s="21"/>
      <c r="Q105" s="21"/>
      <c r="R105" s="21"/>
      <c r="S105" s="21"/>
      <c r="T105" s="21"/>
      <c r="U105" s="21"/>
      <c r="V105" s="21"/>
    </row>
    <row r="106" spans="1:22" ht="12.75">
      <c r="A106" s="25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1"/>
      <c r="N106" s="21"/>
      <c r="O106" s="21"/>
      <c r="P106" s="21"/>
      <c r="Q106" s="21"/>
      <c r="R106" s="21"/>
      <c r="S106" s="21"/>
      <c r="T106" s="21"/>
      <c r="U106" s="21"/>
      <c r="V106" s="21"/>
    </row>
    <row r="107" spans="1:22" ht="12.75">
      <c r="A107" s="25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1"/>
      <c r="N107" s="21"/>
      <c r="O107" s="21"/>
      <c r="P107" s="21"/>
      <c r="Q107" s="21"/>
      <c r="R107" s="21"/>
      <c r="S107" s="21"/>
      <c r="T107" s="21"/>
      <c r="U107" s="21"/>
      <c r="V107" s="21"/>
    </row>
    <row r="108" spans="1:22" ht="12.75">
      <c r="A108" s="25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1"/>
      <c r="N108" s="21"/>
      <c r="O108" s="21"/>
      <c r="P108" s="21"/>
      <c r="Q108" s="21"/>
      <c r="R108" s="21"/>
      <c r="S108" s="21"/>
      <c r="T108" s="21"/>
      <c r="U108" s="21"/>
      <c r="V108" s="21"/>
    </row>
    <row r="109" spans="1:22" ht="12.75">
      <c r="A109" s="25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1"/>
      <c r="N109" s="21"/>
      <c r="O109" s="21"/>
      <c r="P109" s="21"/>
      <c r="Q109" s="21"/>
      <c r="R109" s="21"/>
      <c r="S109" s="21"/>
      <c r="T109" s="21"/>
      <c r="U109" s="21"/>
      <c r="V109" s="21"/>
    </row>
    <row r="110" spans="1:22" ht="12.75">
      <c r="A110" s="25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1"/>
      <c r="N110" s="21"/>
      <c r="O110" s="21"/>
      <c r="P110" s="21"/>
      <c r="Q110" s="21"/>
      <c r="R110" s="21"/>
      <c r="S110" s="21"/>
      <c r="T110" s="21"/>
      <c r="U110" s="21"/>
      <c r="V110" s="21"/>
    </row>
    <row r="111" spans="1:22" ht="12.75">
      <c r="A111" s="25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1"/>
      <c r="N111" s="21"/>
      <c r="O111" s="21"/>
      <c r="P111" s="21"/>
      <c r="Q111" s="21"/>
      <c r="R111" s="21"/>
      <c r="S111" s="21"/>
      <c r="T111" s="21"/>
      <c r="U111" s="21"/>
      <c r="V111" s="21"/>
    </row>
  </sheetData>
  <sheetProtection password="D8FD" sheet="1"/>
  <dataValidations count="1">
    <dataValidation type="list" allowBlank="1" showInputMessage="1" showErrorMessage="1" sqref="E9">
      <formula1>$F$9:$F$11</formula1>
    </dataValidation>
  </dataValidations>
  <hyperlinks>
    <hyperlink ref="C69" location="Istruzioni!A1" display="Vai alla pagina Istruzioni"/>
  </hyperlinks>
  <printOptions/>
  <pageMargins left="0.75" right="0.75" top="1" bottom="1" header="0.5" footer="0.5"/>
  <pageSetup horizontalDpi="600" verticalDpi="600" orientation="portrait" paperSize="9" scale="86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4"/>
  <dimension ref="A1:H5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3.421875" style="0" customWidth="1"/>
    <col min="3" max="3" width="75.7109375" style="0" customWidth="1"/>
    <col min="4" max="4" width="25.00390625" style="0" customWidth="1"/>
  </cols>
  <sheetData>
    <row r="1" spans="1:8" ht="25.5" customHeight="1">
      <c r="A1" s="93" t="s">
        <v>55</v>
      </c>
      <c r="B1" s="92"/>
      <c r="C1" s="92"/>
      <c r="D1" s="92"/>
      <c r="E1" s="92"/>
      <c r="F1" s="6"/>
      <c r="G1" s="6"/>
      <c r="H1" s="6"/>
    </row>
    <row r="2" spans="1:8" ht="18" customHeight="1">
      <c r="A2" s="101" t="s">
        <v>90</v>
      </c>
      <c r="B2" s="92"/>
      <c r="C2" s="92"/>
      <c r="D2" s="92"/>
      <c r="E2" s="92"/>
      <c r="F2" s="6"/>
      <c r="G2" s="6"/>
      <c r="H2" s="6"/>
    </row>
    <row r="3" spans="1:8" ht="12.75">
      <c r="A3" s="92"/>
      <c r="B3" s="92"/>
      <c r="C3" s="92"/>
      <c r="D3" s="92"/>
      <c r="E3" s="92"/>
      <c r="F3" s="6"/>
      <c r="G3" s="6"/>
      <c r="H3" s="6"/>
    </row>
    <row r="4" spans="1:8" ht="12.75">
      <c r="A4" s="92"/>
      <c r="B4" s="94"/>
      <c r="C4" s="95" t="s">
        <v>94</v>
      </c>
      <c r="D4" s="94"/>
      <c r="E4" s="92"/>
      <c r="F4" s="6"/>
      <c r="G4" s="6"/>
      <c r="H4" s="6"/>
    </row>
    <row r="5" spans="1:8" ht="12.75">
      <c r="A5" s="92"/>
      <c r="B5" s="94"/>
      <c r="C5" s="95" t="s">
        <v>95</v>
      </c>
      <c r="D5" s="94"/>
      <c r="E5" s="92"/>
      <c r="F5" s="6"/>
      <c r="G5" s="6"/>
      <c r="H5" s="6"/>
    </row>
    <row r="6" spans="1:8" ht="12.75">
      <c r="A6" s="92"/>
      <c r="B6" s="94"/>
      <c r="C6" s="98" t="s">
        <v>60</v>
      </c>
      <c r="D6" s="98" t="s">
        <v>61</v>
      </c>
      <c r="E6" s="92"/>
      <c r="F6" s="6"/>
      <c r="G6" s="6"/>
      <c r="H6" s="6"/>
    </row>
    <row r="7" spans="1:8" ht="12.75">
      <c r="A7" s="92"/>
      <c r="B7" s="94">
        <v>1</v>
      </c>
      <c r="C7" s="94" t="s">
        <v>56</v>
      </c>
      <c r="D7" s="94"/>
      <c r="E7" s="92"/>
      <c r="F7" s="6"/>
      <c r="G7" s="6"/>
      <c r="H7" s="6"/>
    </row>
    <row r="8" spans="1:8" ht="12.75">
      <c r="A8" s="92"/>
      <c r="B8" s="94">
        <v>2</v>
      </c>
      <c r="C8" s="94" t="s">
        <v>57</v>
      </c>
      <c r="D8" s="94"/>
      <c r="E8" s="92"/>
      <c r="F8" s="6"/>
      <c r="G8" s="6"/>
      <c r="H8" s="6"/>
    </row>
    <row r="9" spans="1:8" ht="12.75">
      <c r="A9" s="92"/>
      <c r="B9" s="94">
        <v>3</v>
      </c>
      <c r="C9" s="94" t="s">
        <v>58</v>
      </c>
      <c r="D9" s="94"/>
      <c r="E9" s="92"/>
      <c r="F9" s="6"/>
      <c r="G9" s="6"/>
      <c r="H9" s="6"/>
    </row>
    <row r="10" spans="1:8" ht="12.75">
      <c r="A10" s="92"/>
      <c r="B10" s="94">
        <v>4</v>
      </c>
      <c r="C10" s="94" t="s">
        <v>70</v>
      </c>
      <c r="D10" s="94"/>
      <c r="E10" s="92"/>
      <c r="F10" s="6"/>
      <c r="G10" s="6"/>
      <c r="H10" s="6"/>
    </row>
    <row r="11" spans="1:8" ht="12.75">
      <c r="A11" s="92"/>
      <c r="B11" s="94">
        <v>5</v>
      </c>
      <c r="C11" s="94" t="s">
        <v>135</v>
      </c>
      <c r="D11" s="94" t="s">
        <v>136</v>
      </c>
      <c r="E11" s="92"/>
      <c r="F11" s="6"/>
      <c r="G11" s="6"/>
      <c r="H11" s="6"/>
    </row>
    <row r="12" spans="1:8" ht="12.75">
      <c r="A12" s="92"/>
      <c r="B12" s="94">
        <v>6</v>
      </c>
      <c r="C12" s="94" t="s">
        <v>146</v>
      </c>
      <c r="D12" s="94" t="s">
        <v>83</v>
      </c>
      <c r="E12" s="92"/>
      <c r="F12" s="6"/>
      <c r="G12" s="6"/>
      <c r="H12" s="6"/>
    </row>
    <row r="13" spans="1:8" ht="12.75">
      <c r="A13" s="92"/>
      <c r="B13" s="94">
        <v>7</v>
      </c>
      <c r="C13" s="94" t="s">
        <v>65</v>
      </c>
      <c r="D13" s="94" t="s">
        <v>59</v>
      </c>
      <c r="E13" s="92"/>
      <c r="F13" s="6"/>
      <c r="G13" s="6"/>
      <c r="H13" s="6"/>
    </row>
    <row r="14" spans="1:8" ht="12.75">
      <c r="A14" s="92"/>
      <c r="B14" s="94">
        <v>8</v>
      </c>
      <c r="C14" s="94" t="s">
        <v>66</v>
      </c>
      <c r="D14" s="94" t="s">
        <v>62</v>
      </c>
      <c r="E14" s="92"/>
      <c r="F14" s="6"/>
      <c r="G14" s="6"/>
      <c r="H14" s="6"/>
    </row>
    <row r="15" spans="1:8" ht="12.75">
      <c r="A15" s="92"/>
      <c r="B15" s="94">
        <v>9</v>
      </c>
      <c r="C15" s="94" t="s">
        <v>64</v>
      </c>
      <c r="D15" s="94" t="s">
        <v>63</v>
      </c>
      <c r="E15" s="92"/>
      <c r="F15" s="6"/>
      <c r="G15" s="6"/>
      <c r="H15" s="6"/>
    </row>
    <row r="16" spans="1:8" ht="12.75">
      <c r="A16" s="92"/>
      <c r="B16" s="94">
        <v>10</v>
      </c>
      <c r="C16" s="94" t="s">
        <v>198</v>
      </c>
      <c r="D16" s="94" t="s">
        <v>71</v>
      </c>
      <c r="E16" s="92"/>
      <c r="F16" s="6"/>
      <c r="G16" s="6"/>
      <c r="H16" s="6"/>
    </row>
    <row r="17" spans="1:8" ht="12.75">
      <c r="A17" s="92"/>
      <c r="B17" s="94">
        <v>11</v>
      </c>
      <c r="C17" s="94" t="s">
        <v>67</v>
      </c>
      <c r="D17" s="94" t="s">
        <v>68</v>
      </c>
      <c r="E17" s="92"/>
      <c r="F17" s="6"/>
      <c r="G17" s="6"/>
      <c r="H17" s="6"/>
    </row>
    <row r="18" spans="1:8" ht="12.75">
      <c r="A18" s="92"/>
      <c r="B18" s="94">
        <v>12</v>
      </c>
      <c r="C18" s="94" t="s">
        <v>134</v>
      </c>
      <c r="D18" s="94" t="s">
        <v>69</v>
      </c>
      <c r="E18" s="92"/>
      <c r="F18" s="6"/>
      <c r="G18" s="6"/>
      <c r="H18" s="6"/>
    </row>
    <row r="19" spans="1:8" ht="12.75">
      <c r="A19" s="92"/>
      <c r="B19" s="94">
        <v>13</v>
      </c>
      <c r="C19" s="94" t="s">
        <v>249</v>
      </c>
      <c r="D19" s="94" t="s">
        <v>244</v>
      </c>
      <c r="E19" s="92"/>
      <c r="F19" s="6"/>
      <c r="G19" s="6"/>
      <c r="H19" s="6"/>
    </row>
    <row r="20" spans="1:8" ht="12.75">
      <c r="A20" s="92"/>
      <c r="B20" s="94">
        <v>14</v>
      </c>
      <c r="C20" s="94" t="s">
        <v>245</v>
      </c>
      <c r="D20" s="94" t="s">
        <v>246</v>
      </c>
      <c r="E20" s="92"/>
      <c r="F20" s="6"/>
      <c r="G20" s="6"/>
      <c r="H20" s="6"/>
    </row>
    <row r="21" spans="1:8" ht="12.75">
      <c r="A21" s="92"/>
      <c r="B21" s="94">
        <v>15</v>
      </c>
      <c r="C21" s="94" t="s">
        <v>248</v>
      </c>
      <c r="D21" s="94" t="s">
        <v>246</v>
      </c>
      <c r="E21" s="92"/>
      <c r="F21" s="6"/>
      <c r="G21" s="6"/>
      <c r="H21" s="6"/>
    </row>
    <row r="22" spans="1:8" ht="12.75">
      <c r="A22" s="92"/>
      <c r="B22" s="96"/>
      <c r="C22" s="97" t="s">
        <v>96</v>
      </c>
      <c r="D22" s="96"/>
      <c r="E22" s="92"/>
      <c r="F22" s="6"/>
      <c r="G22" s="6"/>
      <c r="H22" s="6"/>
    </row>
    <row r="23" spans="1:8" ht="12.75">
      <c r="A23" s="92"/>
      <c r="B23" s="96"/>
      <c r="C23" s="97" t="s">
        <v>301</v>
      </c>
      <c r="D23" s="96"/>
      <c r="E23" s="92"/>
      <c r="F23" s="6"/>
      <c r="G23" s="6"/>
      <c r="H23" s="6"/>
    </row>
    <row r="24" spans="1:8" ht="12.75">
      <c r="A24" s="92"/>
      <c r="B24" s="96"/>
      <c r="C24" s="97" t="s">
        <v>302</v>
      </c>
      <c r="D24" s="96" t="s">
        <v>303</v>
      </c>
      <c r="E24" s="92"/>
      <c r="F24" s="6"/>
      <c r="G24" s="6"/>
      <c r="H24" s="6"/>
    </row>
    <row r="25" spans="1:8" ht="12.75">
      <c r="A25" s="92"/>
      <c r="B25" s="96">
        <v>1</v>
      </c>
      <c r="C25" s="96" t="s">
        <v>93</v>
      </c>
      <c r="D25" s="96"/>
      <c r="E25" s="92"/>
      <c r="F25" s="6"/>
      <c r="G25" s="6"/>
      <c r="H25" s="6"/>
    </row>
    <row r="26" spans="1:8" ht="12.75">
      <c r="A26" s="92"/>
      <c r="B26" s="96">
        <v>2</v>
      </c>
      <c r="C26" s="96" t="s">
        <v>72</v>
      </c>
      <c r="D26" s="96"/>
      <c r="E26" s="92"/>
      <c r="F26" s="6"/>
      <c r="G26" s="6"/>
      <c r="H26" s="6"/>
    </row>
    <row r="27" spans="1:8" ht="12.75">
      <c r="A27" s="92"/>
      <c r="B27" s="96">
        <v>3</v>
      </c>
      <c r="C27" s="96" t="s">
        <v>73</v>
      </c>
      <c r="D27" s="96"/>
      <c r="E27" s="92"/>
      <c r="F27" s="6"/>
      <c r="G27" s="6"/>
      <c r="H27" s="6"/>
    </row>
    <row r="28" spans="1:8" ht="12.75">
      <c r="A28" s="92"/>
      <c r="B28" s="96">
        <v>4</v>
      </c>
      <c r="C28" s="96" t="s">
        <v>92</v>
      </c>
      <c r="D28" s="96"/>
      <c r="E28" s="92"/>
      <c r="F28" s="6"/>
      <c r="G28" s="6"/>
      <c r="H28" s="6"/>
    </row>
    <row r="29" spans="1:8" ht="12.75">
      <c r="A29" s="92"/>
      <c r="B29" s="96">
        <v>5</v>
      </c>
      <c r="C29" s="96" t="s">
        <v>87</v>
      </c>
      <c r="D29" s="96"/>
      <c r="E29" s="92"/>
      <c r="F29" s="6"/>
      <c r="G29" s="6"/>
      <c r="H29" s="6"/>
    </row>
    <row r="30" spans="1:8" ht="12.75">
      <c r="A30" s="92"/>
      <c r="B30" s="96">
        <v>6</v>
      </c>
      <c r="C30" s="96" t="s">
        <v>91</v>
      </c>
      <c r="D30" s="96"/>
      <c r="E30" s="92"/>
      <c r="F30" s="6"/>
      <c r="G30" s="6"/>
      <c r="H30" s="6"/>
    </row>
    <row r="31" spans="1:8" ht="12.75">
      <c r="A31" s="92"/>
      <c r="B31" s="96">
        <v>7</v>
      </c>
      <c r="C31" s="96" t="s">
        <v>88</v>
      </c>
      <c r="D31" s="96"/>
      <c r="E31" s="92"/>
      <c r="F31" s="6"/>
      <c r="G31" s="6"/>
      <c r="H31" s="6"/>
    </row>
    <row r="32" spans="1:8" ht="12.75">
      <c r="A32" s="92"/>
      <c r="B32" s="96">
        <v>8</v>
      </c>
      <c r="C32" s="96" t="s">
        <v>84</v>
      </c>
      <c r="D32" s="96"/>
      <c r="E32" s="92"/>
      <c r="F32" s="6"/>
      <c r="G32" s="6"/>
      <c r="H32" s="6"/>
    </row>
    <row r="33" spans="1:8" ht="12.75">
      <c r="A33" s="92"/>
      <c r="B33" s="96">
        <v>9</v>
      </c>
      <c r="C33" s="96" t="s">
        <v>85</v>
      </c>
      <c r="D33" s="96" t="s">
        <v>137</v>
      </c>
      <c r="E33" s="92"/>
      <c r="F33" s="6"/>
      <c r="G33" s="6"/>
      <c r="H33" s="6"/>
    </row>
    <row r="34" spans="1:8" ht="12.75">
      <c r="A34" s="92"/>
      <c r="B34" s="96">
        <v>10</v>
      </c>
      <c r="C34" s="96" t="s">
        <v>86</v>
      </c>
      <c r="D34" s="96"/>
      <c r="E34" s="92"/>
      <c r="F34" s="6"/>
      <c r="G34" s="6"/>
      <c r="H34" s="6"/>
    </row>
    <row r="35" spans="1:8" ht="12.75">
      <c r="A35" s="92"/>
      <c r="B35" s="96">
        <v>11</v>
      </c>
      <c r="C35" s="96" t="s">
        <v>74</v>
      </c>
      <c r="D35" s="96"/>
      <c r="E35" s="92"/>
      <c r="F35" s="6"/>
      <c r="G35" s="6"/>
      <c r="H35" s="6"/>
    </row>
    <row r="36" spans="1:8" ht="12.75">
      <c r="A36" s="92"/>
      <c r="B36" s="96">
        <v>12</v>
      </c>
      <c r="C36" s="96" t="s">
        <v>117</v>
      </c>
      <c r="D36" s="96"/>
      <c r="E36" s="92"/>
      <c r="F36" s="6"/>
      <c r="G36" s="6"/>
      <c r="H36" s="6"/>
    </row>
    <row r="37" spans="1:8" ht="12.75">
      <c r="A37" s="92"/>
      <c r="B37" s="96">
        <v>13</v>
      </c>
      <c r="C37" s="96" t="s">
        <v>75</v>
      </c>
      <c r="D37" s="96" t="s">
        <v>81</v>
      </c>
      <c r="E37" s="92"/>
      <c r="F37" s="6"/>
      <c r="G37" s="6"/>
      <c r="H37" s="6"/>
    </row>
    <row r="38" spans="1:8" ht="12.75">
      <c r="A38" s="92"/>
      <c r="B38" s="96">
        <v>14</v>
      </c>
      <c r="C38" s="96" t="s">
        <v>76</v>
      </c>
      <c r="D38" s="96"/>
      <c r="E38" s="92"/>
      <c r="F38" s="6"/>
      <c r="G38" s="6"/>
      <c r="H38" s="6"/>
    </row>
    <row r="39" spans="1:8" ht="12.75">
      <c r="A39" s="92"/>
      <c r="B39" s="96">
        <v>15</v>
      </c>
      <c r="C39" s="96" t="s">
        <v>77</v>
      </c>
      <c r="D39" s="96" t="s">
        <v>80</v>
      </c>
      <c r="E39" s="92"/>
      <c r="F39" s="6"/>
      <c r="G39" s="6"/>
      <c r="H39" s="6"/>
    </row>
    <row r="40" spans="1:8" ht="12.75">
      <c r="A40" s="92"/>
      <c r="B40" s="96">
        <v>16</v>
      </c>
      <c r="C40" s="96" t="s">
        <v>78</v>
      </c>
      <c r="D40" s="96"/>
      <c r="E40" s="92"/>
      <c r="F40" s="6"/>
      <c r="G40" s="6"/>
      <c r="H40" s="6"/>
    </row>
    <row r="41" spans="1:8" ht="12.75">
      <c r="A41" s="92"/>
      <c r="B41" s="96">
        <v>17</v>
      </c>
      <c r="C41" s="96" t="s">
        <v>79</v>
      </c>
      <c r="D41" s="96" t="s">
        <v>82</v>
      </c>
      <c r="E41" s="92"/>
      <c r="F41" s="6"/>
      <c r="G41" s="6"/>
      <c r="H41" s="6"/>
    </row>
    <row r="42" spans="1:8" ht="12.75">
      <c r="A42" s="92"/>
      <c r="B42" s="96">
        <v>18</v>
      </c>
      <c r="C42" s="96" t="s">
        <v>89</v>
      </c>
      <c r="D42" s="96"/>
      <c r="E42" s="92"/>
      <c r="F42" s="6"/>
      <c r="G42" s="6"/>
      <c r="H42" s="6"/>
    </row>
    <row r="43" spans="1:8" ht="12.75">
      <c r="A43" s="92"/>
      <c r="B43" s="96">
        <v>19</v>
      </c>
      <c r="C43" s="96" t="s">
        <v>147</v>
      </c>
      <c r="D43" s="96" t="s">
        <v>83</v>
      </c>
      <c r="E43" s="92"/>
      <c r="F43" s="6"/>
      <c r="G43" s="6"/>
      <c r="H43" s="6"/>
    </row>
    <row r="44" spans="1:8" ht="12.75">
      <c r="A44" s="92"/>
      <c r="B44" s="96">
        <v>20</v>
      </c>
      <c r="C44" s="96" t="s">
        <v>247</v>
      </c>
      <c r="D44" s="96" t="s">
        <v>246</v>
      </c>
      <c r="E44" s="92"/>
      <c r="F44" s="6"/>
      <c r="G44" s="6"/>
      <c r="H44" s="6"/>
    </row>
    <row r="45" spans="1:8" ht="12.75">
      <c r="A45" s="92"/>
      <c r="B45" s="96"/>
      <c r="C45" s="96"/>
      <c r="D45" s="96"/>
      <c r="E45" s="92"/>
      <c r="F45" s="6"/>
      <c r="G45" s="6"/>
      <c r="H45" s="6"/>
    </row>
    <row r="46" spans="1:8" ht="12.75">
      <c r="A46" s="92"/>
      <c r="B46" s="92"/>
      <c r="C46" s="92"/>
      <c r="D46" s="92"/>
      <c r="E46" s="92"/>
      <c r="F46" s="6"/>
      <c r="G46" s="6"/>
      <c r="H46" s="6"/>
    </row>
    <row r="47" spans="1:8" ht="12.75">
      <c r="A47" s="6"/>
      <c r="B47" s="6"/>
      <c r="C47" s="11"/>
      <c r="D47" s="6"/>
      <c r="E47" s="6"/>
      <c r="F47" s="6"/>
      <c r="G47" s="6"/>
      <c r="H47" s="6"/>
    </row>
    <row r="48" spans="1:8" ht="12.75">
      <c r="A48" s="6" t="s">
        <v>0</v>
      </c>
      <c r="B48" s="6" t="s">
        <v>0</v>
      </c>
      <c r="C48" s="4" t="s">
        <v>0</v>
      </c>
      <c r="D48" s="6"/>
      <c r="E48" s="6"/>
      <c r="F48" s="6"/>
      <c r="G48" s="6"/>
      <c r="H48" s="6"/>
    </row>
    <row r="49" spans="1:8" ht="15">
      <c r="A49" s="6"/>
      <c r="B49" s="6"/>
      <c r="C49" s="244" t="s">
        <v>330</v>
      </c>
      <c r="D49" s="6"/>
      <c r="E49" s="6"/>
      <c r="F49" s="6"/>
      <c r="G49" s="6"/>
      <c r="H49" s="6"/>
    </row>
    <row r="50" spans="1:8" ht="12.75">
      <c r="A50" s="6"/>
      <c r="B50" s="6"/>
      <c r="C50" s="11"/>
      <c r="D50" s="6"/>
      <c r="E50" s="6"/>
      <c r="F50" s="6"/>
      <c r="G50" s="6"/>
      <c r="H50" s="6"/>
    </row>
    <row r="51" spans="1:8" ht="12.75">
      <c r="A51" s="6"/>
      <c r="B51" s="6"/>
      <c r="C51" s="11"/>
      <c r="D51" s="6"/>
      <c r="E51" s="6"/>
      <c r="F51" s="6"/>
      <c r="G51" s="6"/>
      <c r="H51" s="6"/>
    </row>
    <row r="52" spans="1:8" ht="12.75">
      <c r="A52" s="6"/>
      <c r="B52" s="6"/>
      <c r="C52" s="11"/>
      <c r="D52" s="6"/>
      <c r="E52" s="6"/>
      <c r="F52" s="6"/>
      <c r="G52" s="6"/>
      <c r="H52" s="6"/>
    </row>
    <row r="53" spans="1:8" ht="12.75">
      <c r="A53" s="6"/>
      <c r="B53" s="6"/>
      <c r="C53" s="11"/>
      <c r="D53" s="6"/>
      <c r="E53" s="6"/>
      <c r="F53" s="6"/>
      <c r="G53" s="6"/>
      <c r="H53" s="6"/>
    </row>
    <row r="54" spans="1:8" ht="12.75">
      <c r="A54" s="6"/>
      <c r="B54" s="6"/>
      <c r="C54" s="11"/>
      <c r="D54" s="6"/>
      <c r="E54" s="6"/>
      <c r="F54" s="6"/>
      <c r="G54" s="6"/>
      <c r="H54" s="6"/>
    </row>
    <row r="55" spans="1:8" ht="12.75">
      <c r="A55" s="6"/>
      <c r="B55" s="6"/>
      <c r="C55" s="11"/>
      <c r="D55" s="6"/>
      <c r="E55" s="6"/>
      <c r="F55" s="6"/>
      <c r="G55" s="6"/>
      <c r="H55" s="6"/>
    </row>
    <row r="56" spans="1:8" ht="12.75">
      <c r="A56" s="6"/>
      <c r="B56" s="6"/>
      <c r="C56" s="11"/>
      <c r="D56" s="6"/>
      <c r="E56" s="6"/>
      <c r="F56" s="6"/>
      <c r="G56" s="6"/>
      <c r="H56" s="6"/>
    </row>
    <row r="57" spans="1:8" ht="12.75">
      <c r="A57" s="6"/>
      <c r="B57" s="6"/>
      <c r="C57" s="11"/>
      <c r="D57" s="6"/>
      <c r="E57" s="6"/>
      <c r="F57" s="6"/>
      <c r="G57" s="6"/>
      <c r="H57" s="6"/>
    </row>
  </sheetData>
  <sheetProtection password="D8FD" sheet="1"/>
  <hyperlinks>
    <hyperlink ref="C49" location="Istruzioni!A1" display="Vai alla pagina Istruzioni"/>
  </hyperlink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2"/>
  <dimension ref="A1:T3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57.7109375" style="0" customWidth="1"/>
    <col min="2" max="2" width="12.421875" style="3" customWidth="1"/>
    <col min="3" max="3" width="14.28125" style="0" customWidth="1"/>
    <col min="4" max="7" width="6.7109375" style="0" customWidth="1"/>
    <col min="8" max="8" width="47.421875" style="0" customWidth="1"/>
    <col min="9" max="9" width="5.28125" style="0" customWidth="1"/>
    <col min="10" max="10" width="10.140625" style="0" customWidth="1"/>
    <col min="11" max="11" width="13.7109375" style="0" customWidth="1"/>
    <col min="12" max="12" width="2.8515625" style="0" customWidth="1"/>
    <col min="13" max="13" width="13.7109375" style="0" customWidth="1"/>
    <col min="14" max="14" width="11.57421875" style="0" customWidth="1"/>
    <col min="17" max="17" width="6.8515625" style="0" customWidth="1"/>
    <col min="18" max="18" width="6.140625" style="0" customWidth="1"/>
    <col min="19" max="19" width="5.8515625" style="0" customWidth="1"/>
  </cols>
  <sheetData>
    <row r="1" spans="1:20" ht="33">
      <c r="A1" s="20" t="s">
        <v>139</v>
      </c>
      <c r="B1" s="8"/>
      <c r="C1" s="9"/>
      <c r="D1" s="9"/>
      <c r="E1" s="9"/>
      <c r="F1" s="9"/>
      <c r="G1" s="9"/>
      <c r="H1" s="30" t="s">
        <v>48</v>
      </c>
      <c r="I1" s="24"/>
      <c r="J1" s="24"/>
      <c r="K1" s="21"/>
      <c r="L1" s="21"/>
      <c r="M1" s="21"/>
      <c r="N1" s="21"/>
      <c r="O1" s="21"/>
      <c r="P1" s="21"/>
      <c r="Q1" s="70"/>
      <c r="R1" s="70"/>
      <c r="S1" s="70"/>
      <c r="T1" s="70"/>
    </row>
    <row r="2" spans="1:20" s="2" customFormat="1" ht="15">
      <c r="A2" s="43" t="s">
        <v>0</v>
      </c>
      <c r="B2" s="8"/>
      <c r="C2" s="9"/>
      <c r="D2" s="9"/>
      <c r="E2" s="9"/>
      <c r="F2" s="9"/>
      <c r="G2" s="9"/>
      <c r="H2" s="22"/>
      <c r="I2" s="22" t="s">
        <v>0</v>
      </c>
      <c r="J2" s="22"/>
      <c r="K2" s="22"/>
      <c r="L2" s="22"/>
      <c r="M2" s="22"/>
      <c r="N2" s="22"/>
      <c r="O2" s="21"/>
      <c r="P2" s="21"/>
      <c r="Q2" s="71"/>
      <c r="R2" s="71"/>
      <c r="S2" s="71"/>
      <c r="T2" s="71"/>
    </row>
    <row r="3" spans="1:20" s="2" customFormat="1" ht="12.75">
      <c r="A3" s="45" t="str">
        <f>Istruzioni!B72</f>
        <v>minapoli software</v>
      </c>
      <c r="B3" s="6"/>
      <c r="C3" s="6"/>
      <c r="D3" s="6"/>
      <c r="E3" s="6"/>
      <c r="F3" s="6"/>
      <c r="G3" s="6"/>
      <c r="H3" s="22"/>
      <c r="I3" s="22"/>
      <c r="J3" s="22"/>
      <c r="K3" s="22"/>
      <c r="L3" s="22"/>
      <c r="M3" s="22"/>
      <c r="N3" s="22"/>
      <c r="O3" s="21"/>
      <c r="P3" s="21"/>
      <c r="Q3" s="70" t="s">
        <v>46</v>
      </c>
      <c r="R3" s="70"/>
      <c r="S3" s="71" t="s">
        <v>46</v>
      </c>
      <c r="T3" s="71"/>
    </row>
    <row r="4" spans="1:20" ht="12.75">
      <c r="A4" s="6"/>
      <c r="B4" s="11"/>
      <c r="C4" s="6"/>
      <c r="D4" s="6"/>
      <c r="E4" s="6"/>
      <c r="F4" s="6"/>
      <c r="G4" s="6"/>
      <c r="H4" s="23"/>
      <c r="I4" s="23"/>
      <c r="J4" s="23"/>
      <c r="K4" s="25" t="s">
        <v>14</v>
      </c>
      <c r="L4" s="22"/>
      <c r="M4" s="25" t="s">
        <v>15</v>
      </c>
      <c r="N4" s="21"/>
      <c r="O4" s="21"/>
      <c r="P4" s="21"/>
      <c r="Q4" s="70" t="s">
        <v>47</v>
      </c>
      <c r="R4" s="70"/>
      <c r="S4" s="70" t="s">
        <v>54</v>
      </c>
      <c r="T4" s="70"/>
    </row>
    <row r="5" spans="1:20" ht="12.75">
      <c r="A5" s="6" t="s">
        <v>2</v>
      </c>
      <c r="B5" s="11"/>
      <c r="C5" s="6"/>
      <c r="D5" s="6"/>
      <c r="E5" s="6"/>
      <c r="F5" s="6"/>
      <c r="G5" s="6"/>
      <c r="H5" s="21"/>
      <c r="I5" s="26"/>
      <c r="J5" s="26"/>
      <c r="K5" s="21"/>
      <c r="L5" s="21"/>
      <c r="M5" s="21"/>
      <c r="N5" s="21"/>
      <c r="O5" s="21"/>
      <c r="P5" s="21"/>
      <c r="Q5" s="72">
        <v>18</v>
      </c>
      <c r="R5" s="70">
        <v>2.74</v>
      </c>
      <c r="S5" s="70">
        <v>1</v>
      </c>
      <c r="T5" s="70">
        <v>1014.78</v>
      </c>
    </row>
    <row r="6" spans="1:20" ht="12.75">
      <c r="A6" s="110" t="s">
        <v>239</v>
      </c>
      <c r="B6" s="11"/>
      <c r="C6" s="6"/>
      <c r="D6" s="6"/>
      <c r="E6" s="6"/>
      <c r="F6" s="6"/>
      <c r="G6" s="6"/>
      <c r="H6" s="21" t="s">
        <v>33</v>
      </c>
      <c r="I6" s="21"/>
      <c r="J6" s="66">
        <f>B13</f>
        <v>39692</v>
      </c>
      <c r="K6" s="61"/>
      <c r="L6" s="21"/>
      <c r="M6" s="62"/>
      <c r="N6" s="119">
        <f>YEAR(J6)+O6</f>
        <v>2008</v>
      </c>
      <c r="O6" s="21">
        <f>IF(MONTH(J6)=12,1,0)</f>
        <v>0</v>
      </c>
      <c r="P6" s="21"/>
      <c r="Q6" s="72">
        <v>19</v>
      </c>
      <c r="R6" s="70">
        <v>2.74</v>
      </c>
      <c r="S6" s="70">
        <f>S5+1</f>
        <v>2</v>
      </c>
      <c r="T6" s="70">
        <v>508.32</v>
      </c>
    </row>
    <row r="7" spans="1:20" ht="12.75">
      <c r="A7" s="6" t="s">
        <v>1</v>
      </c>
      <c r="B7" s="11"/>
      <c r="C7" s="6"/>
      <c r="D7" s="6"/>
      <c r="E7" s="6"/>
      <c r="F7" s="6"/>
      <c r="G7" s="6"/>
      <c r="H7" s="21" t="s">
        <v>36</v>
      </c>
      <c r="I7" s="21"/>
      <c r="J7" s="68">
        <f>K44</f>
        <v>57</v>
      </c>
      <c r="K7" s="61"/>
      <c r="L7" s="21"/>
      <c r="M7" s="62"/>
      <c r="N7" s="21"/>
      <c r="O7" s="21"/>
      <c r="P7" s="21"/>
      <c r="Q7" s="72">
        <v>20</v>
      </c>
      <c r="R7" s="70">
        <v>2.74</v>
      </c>
      <c r="S7" s="70">
        <f aca="true" t="shared" si="0" ref="S7:S70">S6+1</f>
        <v>3</v>
      </c>
      <c r="T7" s="73">
        <v>339.5</v>
      </c>
    </row>
    <row r="8" spans="1:20" ht="12.75">
      <c r="A8" s="110" t="s">
        <v>238</v>
      </c>
      <c r="B8" s="11" t="s">
        <v>0</v>
      </c>
      <c r="C8" s="6"/>
      <c r="D8" s="6"/>
      <c r="E8" s="6"/>
      <c r="F8" s="6"/>
      <c r="G8" s="6"/>
      <c r="H8" s="21" t="s">
        <v>43</v>
      </c>
      <c r="I8" s="21"/>
      <c r="J8" s="21"/>
      <c r="K8" s="61">
        <f>B15*13</f>
        <v>22599.59</v>
      </c>
      <c r="L8" s="21"/>
      <c r="M8" s="62">
        <f>K8*1936.27</f>
        <v>43758908.1293</v>
      </c>
      <c r="N8" s="21"/>
      <c r="O8" s="21"/>
      <c r="P8" s="21"/>
      <c r="Q8" s="72">
        <f>Q7+1</f>
        <v>21</v>
      </c>
      <c r="R8" s="70">
        <v>2.84</v>
      </c>
      <c r="S8" s="70">
        <f t="shared" si="0"/>
        <v>4</v>
      </c>
      <c r="T8" s="70">
        <v>255.09</v>
      </c>
    </row>
    <row r="9" spans="1:20" ht="14.25" customHeight="1">
      <c r="A9" s="102" t="s">
        <v>6</v>
      </c>
      <c r="B9" s="11"/>
      <c r="C9" s="6"/>
      <c r="D9" s="6" t="s">
        <v>0</v>
      </c>
      <c r="E9" s="6"/>
      <c r="F9" s="6"/>
      <c r="G9" s="6"/>
      <c r="H9" s="21" t="s">
        <v>17</v>
      </c>
      <c r="I9" s="21"/>
      <c r="J9" s="21"/>
      <c r="K9" s="61">
        <f>B16*13</f>
        <v>0</v>
      </c>
      <c r="L9" s="21"/>
      <c r="M9" s="62">
        <f>K9*1936.27</f>
        <v>0</v>
      </c>
      <c r="N9" s="21"/>
      <c r="O9" s="21"/>
      <c r="P9" s="21"/>
      <c r="Q9" s="72">
        <f aca="true" t="shared" si="1" ref="Q9:Q57">Q8+1</f>
        <v>22</v>
      </c>
      <c r="R9" s="70">
        <v>2.94</v>
      </c>
      <c r="S9" s="70">
        <f t="shared" si="0"/>
        <v>5</v>
      </c>
      <c r="T9" s="70">
        <v>204.45</v>
      </c>
    </row>
    <row r="10" spans="1:20" ht="14.25" customHeight="1">
      <c r="A10" s="6" t="s">
        <v>0</v>
      </c>
      <c r="B10" s="11" t="s">
        <v>0</v>
      </c>
      <c r="C10" s="6" t="s">
        <v>0</v>
      </c>
      <c r="D10" s="6"/>
      <c r="E10" s="6"/>
      <c r="F10" s="6" t="s">
        <v>0</v>
      </c>
      <c r="G10" s="6"/>
      <c r="H10" s="21" t="s">
        <v>18</v>
      </c>
      <c r="I10" s="21"/>
      <c r="J10" s="47">
        <f>IF(N6&lt;1995,0,B17*13)</f>
        <v>6916.13</v>
      </c>
      <c r="K10" s="100">
        <f>IF(C13&gt;2002,J10,J10*0.6)</f>
        <v>6916.13</v>
      </c>
      <c r="L10" s="21"/>
      <c r="M10" s="62">
        <f>K10*1936.27</f>
        <v>13391495.0351</v>
      </c>
      <c r="N10" s="21"/>
      <c r="O10" s="21"/>
      <c r="P10" s="21"/>
      <c r="Q10" s="72">
        <f t="shared" si="1"/>
        <v>23</v>
      </c>
      <c r="R10" s="70">
        <v>3.04</v>
      </c>
      <c r="S10" s="70">
        <f t="shared" si="0"/>
        <v>6</v>
      </c>
      <c r="T10" s="70">
        <v>170.68</v>
      </c>
    </row>
    <row r="11" spans="1:20" ht="12.75">
      <c r="A11" s="6" t="s">
        <v>32</v>
      </c>
      <c r="B11" s="113">
        <v>18694</v>
      </c>
      <c r="C11" s="6"/>
      <c r="D11" s="6"/>
      <c r="E11" s="6"/>
      <c r="F11" s="6"/>
      <c r="G11" s="6"/>
      <c r="H11" s="29"/>
      <c r="I11" s="21"/>
      <c r="J11" s="21"/>
      <c r="K11" s="48"/>
      <c r="L11" s="21"/>
      <c r="M11" s="27"/>
      <c r="N11" s="21"/>
      <c r="O11" s="21"/>
      <c r="P11" s="21"/>
      <c r="Q11" s="72">
        <f t="shared" si="1"/>
        <v>24</v>
      </c>
      <c r="R11" s="70">
        <v>3.14</v>
      </c>
      <c r="S11" s="70">
        <f t="shared" si="0"/>
        <v>7</v>
      </c>
      <c r="T11" s="70">
        <v>146.57</v>
      </c>
    </row>
    <row r="12" spans="1:20" ht="12.75">
      <c r="A12" s="6" t="s">
        <v>0</v>
      </c>
      <c r="B12" s="11" t="s">
        <v>0</v>
      </c>
      <c r="C12" s="11"/>
      <c r="D12" s="6"/>
      <c r="E12" s="6"/>
      <c r="F12" s="6"/>
      <c r="G12" s="6"/>
      <c r="H12" s="29" t="s">
        <v>49</v>
      </c>
      <c r="I12" s="21"/>
      <c r="J12" s="29"/>
      <c r="K12" s="48">
        <f>SUM(K7:K10)</f>
        <v>29515.72</v>
      </c>
      <c r="L12" s="21"/>
      <c r="M12" s="27">
        <f>K12*1936.27</f>
        <v>57150403.164400004</v>
      </c>
      <c r="N12" s="21"/>
      <c r="O12" s="21"/>
      <c r="P12" s="21"/>
      <c r="Q12" s="72">
        <f t="shared" si="1"/>
        <v>25</v>
      </c>
      <c r="R12" s="70">
        <v>3.24</v>
      </c>
      <c r="S12" s="70">
        <f t="shared" si="0"/>
        <v>8</v>
      </c>
      <c r="T12" s="70">
        <v>128.48</v>
      </c>
    </row>
    <row r="13" spans="1:20" ht="12.75">
      <c r="A13" s="6" t="s">
        <v>33</v>
      </c>
      <c r="B13" s="113">
        <v>39692</v>
      </c>
      <c r="C13" s="103">
        <f>YEAR(B13)</f>
        <v>2008</v>
      </c>
      <c r="D13" s="6"/>
      <c r="E13" s="6"/>
      <c r="F13" s="6"/>
      <c r="G13" s="6"/>
      <c r="H13" s="29"/>
      <c r="I13" s="21"/>
      <c r="J13" s="21"/>
      <c r="K13" s="61"/>
      <c r="L13" s="21"/>
      <c r="M13" s="62"/>
      <c r="N13" s="21"/>
      <c r="O13" s="21"/>
      <c r="P13" s="21"/>
      <c r="Q13" s="72">
        <f t="shared" si="1"/>
        <v>26</v>
      </c>
      <c r="R13" s="70">
        <v>3.33</v>
      </c>
      <c r="S13" s="70">
        <f t="shared" si="0"/>
        <v>9</v>
      </c>
      <c r="T13" s="70">
        <v>114.41</v>
      </c>
    </row>
    <row r="14" spans="1:20" ht="12.75">
      <c r="A14" s="6" t="s">
        <v>0</v>
      </c>
      <c r="B14" s="11" t="s">
        <v>14</v>
      </c>
      <c r="C14" s="11" t="s">
        <v>15</v>
      </c>
      <c r="D14" s="6"/>
      <c r="E14" s="6"/>
      <c r="F14" s="6"/>
      <c r="G14" s="6"/>
      <c r="H14" s="21" t="s">
        <v>44</v>
      </c>
      <c r="I14" s="21"/>
      <c r="J14" s="21">
        <f>IF(F19&gt;0,D19*12+E19+1,D19*12+E19)</f>
        <v>8</v>
      </c>
      <c r="K14" s="61"/>
      <c r="L14" s="21"/>
      <c r="M14" s="62"/>
      <c r="N14" s="21"/>
      <c r="O14" s="21"/>
      <c r="P14" s="21"/>
      <c r="Q14" s="72">
        <f t="shared" si="1"/>
        <v>27</v>
      </c>
      <c r="R14" s="70">
        <v>3.43</v>
      </c>
      <c r="S14" s="70">
        <f t="shared" si="0"/>
        <v>10</v>
      </c>
      <c r="T14" s="70">
        <v>103.16</v>
      </c>
    </row>
    <row r="15" spans="1:20" ht="12.75">
      <c r="A15" s="6" t="s">
        <v>34</v>
      </c>
      <c r="B15" s="114">
        <v>1738.43</v>
      </c>
      <c r="C15" s="104">
        <f>B15*1936.27</f>
        <v>3366069.8561</v>
      </c>
      <c r="D15" s="6"/>
      <c r="E15" s="6"/>
      <c r="F15" s="6"/>
      <c r="G15" s="6"/>
      <c r="H15" s="22" t="s">
        <v>45</v>
      </c>
      <c r="I15" s="21"/>
      <c r="J15" s="21">
        <f>VLOOKUP(J7,Q5:R57,2)</f>
        <v>6.03</v>
      </c>
      <c r="K15" s="48"/>
      <c r="L15" s="21"/>
      <c r="M15" s="27"/>
      <c r="N15" s="21"/>
      <c r="O15" s="21"/>
      <c r="P15" s="21"/>
      <c r="Q15" s="72">
        <f t="shared" si="1"/>
        <v>28</v>
      </c>
      <c r="R15" s="70">
        <v>3.51</v>
      </c>
      <c r="S15" s="70">
        <f t="shared" si="0"/>
        <v>11</v>
      </c>
      <c r="T15" s="70">
        <v>93.95</v>
      </c>
    </row>
    <row r="16" spans="1:20" ht="12.75">
      <c r="A16" s="6" t="s">
        <v>9</v>
      </c>
      <c r="B16" s="114">
        <v>0</v>
      </c>
      <c r="C16" s="104">
        <f>B16*1936.27</f>
        <v>0</v>
      </c>
      <c r="D16" s="6"/>
      <c r="E16" s="6"/>
      <c r="F16" s="6"/>
      <c r="G16" s="6"/>
      <c r="H16" s="28" t="s">
        <v>52</v>
      </c>
      <c r="I16" s="69"/>
      <c r="J16" s="69"/>
      <c r="K16" s="49">
        <f>K12*J15*J14*8/10000</f>
        <v>1139.0706662400003</v>
      </c>
      <c r="L16" s="69"/>
      <c r="M16" s="46">
        <f>K16*1936.27</f>
        <v>2205548.3589205253</v>
      </c>
      <c r="N16" s="21"/>
      <c r="O16" s="21"/>
      <c r="P16" s="21"/>
      <c r="Q16" s="72">
        <f t="shared" si="1"/>
        <v>29</v>
      </c>
      <c r="R16" s="73">
        <v>3.6</v>
      </c>
      <c r="S16" s="70">
        <f t="shared" si="0"/>
        <v>12</v>
      </c>
      <c r="T16" s="70">
        <v>86.28</v>
      </c>
    </row>
    <row r="17" spans="1:20" ht="12.75">
      <c r="A17" s="6" t="s">
        <v>10</v>
      </c>
      <c r="B17" s="114">
        <v>532.01</v>
      </c>
      <c r="C17" s="104">
        <f>B17*1936.27</f>
        <v>1030115.0027</v>
      </c>
      <c r="D17" s="6"/>
      <c r="E17" s="6"/>
      <c r="F17" s="6"/>
      <c r="G17" s="6"/>
      <c r="H17" s="21"/>
      <c r="I17" s="21"/>
      <c r="J17" s="21"/>
      <c r="K17" s="51"/>
      <c r="L17" s="28"/>
      <c r="M17" s="62"/>
      <c r="N17" s="21"/>
      <c r="O17" s="21"/>
      <c r="P17" s="21"/>
      <c r="Q17" s="72">
        <f t="shared" si="1"/>
        <v>30</v>
      </c>
      <c r="R17" s="70">
        <v>3.69</v>
      </c>
      <c r="S17" s="70">
        <f t="shared" si="0"/>
        <v>13</v>
      </c>
      <c r="T17" s="70">
        <v>79.79</v>
      </c>
    </row>
    <row r="18" spans="1:20" ht="12.75">
      <c r="A18" s="6" t="s">
        <v>0</v>
      </c>
      <c r="B18" s="11"/>
      <c r="C18" s="6"/>
      <c r="D18" s="11" t="s">
        <v>4</v>
      </c>
      <c r="E18" s="11" t="s">
        <v>3</v>
      </c>
      <c r="F18" s="11" t="s">
        <v>13</v>
      </c>
      <c r="G18" s="6"/>
      <c r="H18" s="21"/>
      <c r="I18" s="21"/>
      <c r="J18" s="21"/>
      <c r="K18" s="61"/>
      <c r="L18" s="21"/>
      <c r="M18" s="62"/>
      <c r="N18" s="21"/>
      <c r="O18" s="21"/>
      <c r="P18" s="21"/>
      <c r="Q18" s="72">
        <f t="shared" si="1"/>
        <v>31</v>
      </c>
      <c r="R18" s="70">
        <v>3.78</v>
      </c>
      <c r="S18" s="70">
        <f t="shared" si="0"/>
        <v>14</v>
      </c>
      <c r="T18" s="70">
        <v>74.23</v>
      </c>
    </row>
    <row r="19" spans="1:20" ht="12.75">
      <c r="A19" s="6" t="s">
        <v>35</v>
      </c>
      <c r="B19" s="11"/>
      <c r="C19" s="6"/>
      <c r="D19" s="112">
        <v>0</v>
      </c>
      <c r="E19" s="112">
        <v>8</v>
      </c>
      <c r="F19" s="112">
        <v>0</v>
      </c>
      <c r="G19" s="6"/>
      <c r="H19" s="21" t="s">
        <v>50</v>
      </c>
      <c r="I19" s="29"/>
      <c r="J19" s="21">
        <f>IF(J14&lt;181,J14,180)</f>
        <v>8</v>
      </c>
      <c r="K19" s="48"/>
      <c r="L19" s="29"/>
      <c r="M19" s="27"/>
      <c r="N19" s="21"/>
      <c r="O19" s="21"/>
      <c r="P19" s="21"/>
      <c r="Q19" s="72">
        <f t="shared" si="1"/>
        <v>32</v>
      </c>
      <c r="R19" s="70">
        <v>3.87</v>
      </c>
      <c r="S19" s="70">
        <f t="shared" si="0"/>
        <v>15</v>
      </c>
      <c r="T19" s="73">
        <v>69.4</v>
      </c>
    </row>
    <row r="20" spans="1:20" ht="12.75">
      <c r="A20" s="40" t="s">
        <v>0</v>
      </c>
      <c r="B20" s="11"/>
      <c r="C20" s="6"/>
      <c r="D20" s="6"/>
      <c r="E20" s="6"/>
      <c r="F20" s="6"/>
      <c r="G20" s="6"/>
      <c r="H20" s="21" t="s">
        <v>53</v>
      </c>
      <c r="I20" s="21"/>
      <c r="J20" s="21">
        <f>VLOOKUP(J19,S5:T184,2)</f>
        <v>128.48</v>
      </c>
      <c r="K20" s="61"/>
      <c r="L20" s="21"/>
      <c r="M20" s="62"/>
      <c r="N20" s="21"/>
      <c r="O20" s="21"/>
      <c r="P20" s="21"/>
      <c r="Q20" s="72">
        <f t="shared" si="1"/>
        <v>33</v>
      </c>
      <c r="R20" s="70">
        <v>3.96</v>
      </c>
      <c r="S20" s="70">
        <f t="shared" si="0"/>
        <v>16</v>
      </c>
      <c r="T20" s="70">
        <v>65.18</v>
      </c>
    </row>
    <row r="21" spans="1:20" ht="12.75">
      <c r="A21" s="40" t="s">
        <v>12</v>
      </c>
      <c r="B21" s="11"/>
      <c r="C21" s="6"/>
      <c r="D21" s="6"/>
      <c r="E21" s="6"/>
      <c r="F21" s="6"/>
      <c r="G21" s="6"/>
      <c r="H21" s="28" t="s">
        <v>51</v>
      </c>
      <c r="I21" s="28"/>
      <c r="J21" s="28"/>
      <c r="K21" s="49">
        <f>K16*J20/1000</f>
        <v>146.34779919851522</v>
      </c>
      <c r="L21" s="28"/>
      <c r="M21" s="46">
        <f>K21*1936.27</f>
        <v>283368.85315410903</v>
      </c>
      <c r="N21" s="21"/>
      <c r="O21" s="21"/>
      <c r="P21" s="21"/>
      <c r="Q21" s="72">
        <f t="shared" si="1"/>
        <v>34</v>
      </c>
      <c r="R21" s="70">
        <v>4.05</v>
      </c>
      <c r="S21" s="70">
        <f t="shared" si="0"/>
        <v>17</v>
      </c>
      <c r="T21" s="70">
        <v>61.46</v>
      </c>
    </row>
    <row r="22" spans="1:20" ht="12.75">
      <c r="A22" s="40" t="s">
        <v>11</v>
      </c>
      <c r="B22" s="11"/>
      <c r="C22" s="6"/>
      <c r="D22" s="6"/>
      <c r="E22" s="6"/>
      <c r="F22" s="6"/>
      <c r="G22" s="6"/>
      <c r="H22" s="21"/>
      <c r="I22" s="21"/>
      <c r="J22" s="63"/>
      <c r="K22" s="61"/>
      <c r="L22" s="21"/>
      <c r="M22" s="62"/>
      <c r="N22" s="21"/>
      <c r="O22" s="21"/>
      <c r="P22" s="21"/>
      <c r="Q22" s="72">
        <f t="shared" si="1"/>
        <v>35</v>
      </c>
      <c r="R22" s="70">
        <v>4.13</v>
      </c>
      <c r="S22" s="70">
        <f t="shared" si="0"/>
        <v>18</v>
      </c>
      <c r="T22" s="70">
        <v>58.15</v>
      </c>
    </row>
    <row r="23" spans="1:20" ht="12.75">
      <c r="A23" s="40"/>
      <c r="B23" s="11"/>
      <c r="C23" s="6"/>
      <c r="D23" s="6"/>
      <c r="E23" s="6"/>
      <c r="F23" s="6"/>
      <c r="G23" s="6"/>
      <c r="H23" s="21"/>
      <c r="I23" s="21"/>
      <c r="J23" s="21"/>
      <c r="K23" s="61"/>
      <c r="L23" s="21"/>
      <c r="M23" s="62"/>
      <c r="N23" s="21"/>
      <c r="O23" s="21"/>
      <c r="P23" s="21"/>
      <c r="Q23" s="72">
        <f t="shared" si="1"/>
        <v>36</v>
      </c>
      <c r="R23" s="70">
        <v>4.22</v>
      </c>
      <c r="S23" s="70">
        <f t="shared" si="0"/>
        <v>19</v>
      </c>
      <c r="T23" s="70">
        <v>55.19</v>
      </c>
    </row>
    <row r="24" spans="1:20" ht="12.75">
      <c r="A24" s="6"/>
      <c r="B24" s="11"/>
      <c r="C24" s="6"/>
      <c r="D24" s="6"/>
      <c r="E24" s="6"/>
      <c r="F24" s="6"/>
      <c r="G24" s="6"/>
      <c r="H24" s="21"/>
      <c r="I24" s="21"/>
      <c r="J24" s="21"/>
      <c r="K24" s="61"/>
      <c r="L24" s="21"/>
      <c r="M24" s="62"/>
      <c r="N24" s="21"/>
      <c r="O24" s="21"/>
      <c r="P24" s="21"/>
      <c r="Q24" s="72">
        <f t="shared" si="1"/>
        <v>37</v>
      </c>
      <c r="R24" s="73">
        <v>4.3</v>
      </c>
      <c r="S24" s="70">
        <f t="shared" si="0"/>
        <v>20</v>
      </c>
      <c r="T24" s="70">
        <v>52.53</v>
      </c>
    </row>
    <row r="25" spans="1:20" ht="12.75">
      <c r="A25" s="6"/>
      <c r="B25" s="11"/>
      <c r="C25" s="6"/>
      <c r="D25" s="6"/>
      <c r="E25" s="6"/>
      <c r="F25" s="6"/>
      <c r="G25" s="6"/>
      <c r="H25" s="28"/>
      <c r="I25" s="28"/>
      <c r="J25" s="28"/>
      <c r="K25" s="49"/>
      <c r="L25" s="21"/>
      <c r="M25" s="46"/>
      <c r="N25" s="21"/>
      <c r="O25" s="21"/>
      <c r="P25" s="21"/>
      <c r="Q25" s="72">
        <f t="shared" si="1"/>
        <v>38</v>
      </c>
      <c r="R25" s="70">
        <v>4.38</v>
      </c>
      <c r="S25" s="70">
        <f t="shared" si="0"/>
        <v>21</v>
      </c>
      <c r="T25" s="70">
        <v>50.12</v>
      </c>
    </row>
    <row r="26" spans="1:20" ht="15">
      <c r="A26" s="244" t="s">
        <v>330</v>
      </c>
      <c r="B26" s="11"/>
      <c r="C26" s="6"/>
      <c r="D26" s="6"/>
      <c r="E26" s="6"/>
      <c r="F26" s="6"/>
      <c r="G26" s="6"/>
      <c r="H26" s="21"/>
      <c r="I26" s="21"/>
      <c r="J26" s="21"/>
      <c r="K26" s="21"/>
      <c r="L26" s="21"/>
      <c r="M26" s="21"/>
      <c r="N26" s="21"/>
      <c r="O26" s="21"/>
      <c r="P26" s="21"/>
      <c r="Q26" s="72">
        <f t="shared" si="1"/>
        <v>39</v>
      </c>
      <c r="R26" s="70">
        <v>4.46</v>
      </c>
      <c r="S26" s="70">
        <f t="shared" si="0"/>
        <v>22</v>
      </c>
      <c r="T26" s="70">
        <v>47.92</v>
      </c>
    </row>
    <row r="27" spans="1:20" ht="12.75">
      <c r="A27" s="44"/>
      <c r="B27" s="11"/>
      <c r="C27" s="6"/>
      <c r="D27" s="6"/>
      <c r="E27" s="6"/>
      <c r="F27" s="6"/>
      <c r="G27" s="6"/>
      <c r="H27" s="21"/>
      <c r="I27" s="21"/>
      <c r="J27" s="21"/>
      <c r="K27" s="21"/>
      <c r="L27" s="21"/>
      <c r="M27" s="21"/>
      <c r="N27" s="21"/>
      <c r="O27" s="21"/>
      <c r="P27" s="21"/>
      <c r="Q27" s="72">
        <f t="shared" si="1"/>
        <v>40</v>
      </c>
      <c r="R27" s="70">
        <v>4.55</v>
      </c>
      <c r="S27" s="70">
        <f t="shared" si="0"/>
        <v>23</v>
      </c>
      <c r="T27" s="70">
        <v>45.92</v>
      </c>
    </row>
    <row r="28" spans="1:20" ht="12.75">
      <c r="A28" s="6"/>
      <c r="B28" s="11"/>
      <c r="C28" s="6"/>
      <c r="D28" s="6"/>
      <c r="E28" s="6"/>
      <c r="F28" s="6"/>
      <c r="G28" s="6"/>
      <c r="H28" s="29" t="s">
        <v>0</v>
      </c>
      <c r="I28" s="21"/>
      <c r="J28" s="21"/>
      <c r="K28" s="21"/>
      <c r="L28" s="21"/>
      <c r="M28" s="21"/>
      <c r="N28" s="21"/>
      <c r="O28" s="21"/>
      <c r="P28" s="21"/>
      <c r="Q28" s="72">
        <f t="shared" si="1"/>
        <v>41</v>
      </c>
      <c r="R28" s="70">
        <v>4.62</v>
      </c>
      <c r="S28" s="70">
        <f t="shared" si="0"/>
        <v>24</v>
      </c>
      <c r="T28" s="70">
        <v>44.09</v>
      </c>
    </row>
    <row r="29" spans="1:20" ht="12.75">
      <c r="A29" s="6" t="s">
        <v>0</v>
      </c>
      <c r="B29" s="4" t="s">
        <v>0</v>
      </c>
      <c r="C29" s="6"/>
      <c r="D29" s="6"/>
      <c r="E29" s="6"/>
      <c r="F29" s="6"/>
      <c r="G29" s="6"/>
      <c r="H29" s="21"/>
      <c r="I29" s="21"/>
      <c r="J29" s="21"/>
      <c r="K29" s="21"/>
      <c r="L29" s="21"/>
      <c r="M29" s="21"/>
      <c r="N29" s="21"/>
      <c r="O29" s="21"/>
      <c r="P29" s="21"/>
      <c r="Q29" s="72">
        <f t="shared" si="1"/>
        <v>42</v>
      </c>
      <c r="R29" s="73">
        <v>4.7</v>
      </c>
      <c r="S29" s="70">
        <f t="shared" si="0"/>
        <v>25</v>
      </c>
      <c r="T29" s="73">
        <v>42.4</v>
      </c>
    </row>
    <row r="30" spans="1:20" ht="12.75">
      <c r="A30" s="6"/>
      <c r="B30" s="11" t="s">
        <v>0</v>
      </c>
      <c r="C30" s="6"/>
      <c r="D30" s="6"/>
      <c r="E30" s="6"/>
      <c r="F30" s="6"/>
      <c r="G30" s="6"/>
      <c r="H30" s="21" t="s">
        <v>127</v>
      </c>
      <c r="I30" s="21"/>
      <c r="J30" s="21"/>
      <c r="K30" s="21"/>
      <c r="L30" s="21"/>
      <c r="M30" s="21"/>
      <c r="N30" s="21"/>
      <c r="O30" s="21"/>
      <c r="P30" s="21"/>
      <c r="Q30" s="72">
        <f t="shared" si="1"/>
        <v>43</v>
      </c>
      <c r="R30" s="70">
        <v>4.78</v>
      </c>
      <c r="S30" s="70">
        <f t="shared" si="0"/>
        <v>26</v>
      </c>
      <c r="T30" s="70">
        <v>40.85</v>
      </c>
    </row>
    <row r="31" spans="1:20" ht="12.75">
      <c r="A31" s="6"/>
      <c r="B31" s="11"/>
      <c r="C31" s="6"/>
      <c r="D31" s="6"/>
      <c r="E31" s="6"/>
      <c r="F31" s="6"/>
      <c r="G31" s="6"/>
      <c r="H31" s="21" t="s">
        <v>128</v>
      </c>
      <c r="I31" s="21"/>
      <c r="J31" s="21"/>
      <c r="K31" s="21"/>
      <c r="L31" s="21"/>
      <c r="M31" s="21"/>
      <c r="N31" s="21"/>
      <c r="O31" s="21"/>
      <c r="P31" s="21"/>
      <c r="Q31" s="72">
        <f t="shared" si="1"/>
        <v>44</v>
      </c>
      <c r="R31" s="70">
        <v>4.86</v>
      </c>
      <c r="S31" s="70">
        <f t="shared" si="0"/>
        <v>27</v>
      </c>
      <c r="T31" s="73">
        <v>39.4</v>
      </c>
    </row>
    <row r="32" spans="1:20" ht="12.75">
      <c r="A32" s="6"/>
      <c r="B32" s="11"/>
      <c r="C32" s="6"/>
      <c r="D32" s="6"/>
      <c r="E32" s="6"/>
      <c r="F32" s="6"/>
      <c r="G32" s="6"/>
      <c r="H32" s="21" t="s">
        <v>129</v>
      </c>
      <c r="I32" s="21"/>
      <c r="J32" s="21"/>
      <c r="K32" s="21"/>
      <c r="L32" s="21"/>
      <c r="M32" s="21"/>
      <c r="N32" s="21"/>
      <c r="O32" s="21"/>
      <c r="P32" s="21"/>
      <c r="Q32" s="72">
        <f t="shared" si="1"/>
        <v>45</v>
      </c>
      <c r="R32" s="70">
        <v>4.93</v>
      </c>
      <c r="S32" s="70">
        <f t="shared" si="0"/>
        <v>28</v>
      </c>
      <c r="T32" s="70">
        <v>38.07</v>
      </c>
    </row>
    <row r="33" spans="1:20" ht="12.75">
      <c r="A33" s="6"/>
      <c r="B33" s="11"/>
      <c r="C33" s="6"/>
      <c r="D33" s="6"/>
      <c r="E33" s="6"/>
      <c r="F33" s="6"/>
      <c r="G33" s="6"/>
      <c r="H33" s="21" t="s">
        <v>130</v>
      </c>
      <c r="I33" s="21"/>
      <c r="J33" s="21"/>
      <c r="K33" s="21"/>
      <c r="L33" s="21"/>
      <c r="M33" s="21"/>
      <c r="N33" s="21"/>
      <c r="O33" s="21"/>
      <c r="P33" s="21"/>
      <c r="Q33" s="72">
        <f t="shared" si="1"/>
        <v>46</v>
      </c>
      <c r="R33" s="70">
        <v>5.02</v>
      </c>
      <c r="S33" s="70">
        <f t="shared" si="0"/>
        <v>29</v>
      </c>
      <c r="T33" s="70">
        <v>36.82</v>
      </c>
    </row>
    <row r="34" spans="1:20" ht="12.75">
      <c r="A34" s="6"/>
      <c r="B34" s="11"/>
      <c r="C34" s="6"/>
      <c r="D34" s="6"/>
      <c r="E34" s="6"/>
      <c r="F34" s="6"/>
      <c r="G34" s="6"/>
      <c r="H34" s="21"/>
      <c r="I34" s="21"/>
      <c r="J34" s="21"/>
      <c r="K34" s="21"/>
      <c r="L34" s="21"/>
      <c r="M34" s="21"/>
      <c r="N34" s="21"/>
      <c r="O34" s="21"/>
      <c r="P34" s="21"/>
      <c r="Q34" s="72">
        <f t="shared" si="1"/>
        <v>47</v>
      </c>
      <c r="R34" s="73">
        <v>5.1</v>
      </c>
      <c r="S34" s="70">
        <f t="shared" si="0"/>
        <v>30</v>
      </c>
      <c r="T34" s="70">
        <v>35.66</v>
      </c>
    </row>
    <row r="35" spans="1:20" ht="12.75">
      <c r="A35" s="6"/>
      <c r="B35" s="11"/>
      <c r="C35" s="6"/>
      <c r="D35" s="6"/>
      <c r="E35" s="6"/>
      <c r="F35" s="6"/>
      <c r="G35" s="6"/>
      <c r="H35" s="21"/>
      <c r="I35" s="21"/>
      <c r="J35" s="21"/>
      <c r="K35" s="21"/>
      <c r="L35" s="21"/>
      <c r="M35" s="21"/>
      <c r="N35" s="21"/>
      <c r="O35" s="21"/>
      <c r="P35" s="21"/>
      <c r="Q35" s="72">
        <f t="shared" si="1"/>
        <v>48</v>
      </c>
      <c r="R35" s="70">
        <v>5.19</v>
      </c>
      <c r="S35" s="70">
        <f t="shared" si="0"/>
        <v>31</v>
      </c>
      <c r="T35" s="70">
        <v>34.57</v>
      </c>
    </row>
    <row r="36" spans="1:20" ht="12.75">
      <c r="A36" s="6"/>
      <c r="B36" s="11"/>
      <c r="C36" s="6"/>
      <c r="D36" s="6"/>
      <c r="E36" s="6"/>
      <c r="F36" s="6"/>
      <c r="G36" s="6"/>
      <c r="H36" s="21"/>
      <c r="I36" s="21"/>
      <c r="J36" s="21"/>
      <c r="K36" s="21"/>
      <c r="L36" s="21"/>
      <c r="M36" s="21"/>
      <c r="N36" s="21"/>
      <c r="O36" s="21"/>
      <c r="P36" s="21"/>
      <c r="Q36" s="72">
        <f t="shared" si="1"/>
        <v>49</v>
      </c>
      <c r="R36" s="70">
        <v>5.28</v>
      </c>
      <c r="S36" s="70">
        <f t="shared" si="0"/>
        <v>32</v>
      </c>
      <c r="T36" s="70">
        <v>33.55</v>
      </c>
    </row>
    <row r="37" spans="1:20" ht="12.75">
      <c r="A37" s="6"/>
      <c r="B37" s="11"/>
      <c r="C37" s="6"/>
      <c r="D37" s="6"/>
      <c r="E37" s="6"/>
      <c r="F37" s="6"/>
      <c r="G37" s="6"/>
      <c r="H37" s="21"/>
      <c r="I37" s="21"/>
      <c r="J37" s="21"/>
      <c r="K37" s="21"/>
      <c r="L37" s="21"/>
      <c r="M37" s="21"/>
      <c r="N37" s="21"/>
      <c r="O37" s="21"/>
      <c r="P37" s="21"/>
      <c r="Q37" s="72">
        <f t="shared" si="1"/>
        <v>50</v>
      </c>
      <c r="R37" s="70">
        <v>5.36</v>
      </c>
      <c r="S37" s="70">
        <f t="shared" si="0"/>
        <v>33</v>
      </c>
      <c r="T37" s="70">
        <v>32.59</v>
      </c>
    </row>
    <row r="38" spans="1:20" ht="12.75">
      <c r="A38" s="6"/>
      <c r="B38" s="11"/>
      <c r="C38" s="6"/>
      <c r="D38" s="6"/>
      <c r="E38" s="6"/>
      <c r="F38" s="6"/>
      <c r="G38" s="6"/>
      <c r="H38" s="21"/>
      <c r="I38" s="21"/>
      <c r="J38" s="21"/>
      <c r="K38" s="21"/>
      <c r="L38" s="21"/>
      <c r="M38" s="21"/>
      <c r="N38" s="21"/>
      <c r="O38" s="21"/>
      <c r="P38" s="21"/>
      <c r="Q38" s="72">
        <f t="shared" si="1"/>
        <v>51</v>
      </c>
      <c r="R38" s="70">
        <v>5.45</v>
      </c>
      <c r="S38" s="70">
        <f t="shared" si="0"/>
        <v>34</v>
      </c>
      <c r="T38" s="70">
        <v>31.69</v>
      </c>
    </row>
    <row r="39" spans="1:20" ht="12.75">
      <c r="A39" s="6"/>
      <c r="B39" s="11"/>
      <c r="C39" s="6"/>
      <c r="D39" s="6"/>
      <c r="E39" s="6"/>
      <c r="F39" s="6"/>
      <c r="G39" s="6"/>
      <c r="H39" s="31" t="s">
        <v>37</v>
      </c>
      <c r="I39" s="31"/>
      <c r="J39" s="31"/>
      <c r="K39" s="33"/>
      <c r="L39" s="31"/>
      <c r="M39" s="31"/>
      <c r="N39" s="31"/>
      <c r="O39" s="31"/>
      <c r="P39" s="31"/>
      <c r="Q39" s="72">
        <f t="shared" si="1"/>
        <v>52</v>
      </c>
      <c r="R39" s="70">
        <v>5.55</v>
      </c>
      <c r="S39" s="70">
        <f t="shared" si="0"/>
        <v>35</v>
      </c>
      <c r="T39" s="70">
        <v>30.84</v>
      </c>
    </row>
    <row r="40" spans="1:20" ht="12.75">
      <c r="A40" s="6"/>
      <c r="B40" s="11"/>
      <c r="C40" s="6"/>
      <c r="D40" s="6"/>
      <c r="E40" s="6"/>
      <c r="F40" s="6"/>
      <c r="G40" s="6"/>
      <c r="H40" s="31" t="s">
        <v>38</v>
      </c>
      <c r="I40" s="31"/>
      <c r="J40" s="31"/>
      <c r="K40" s="67">
        <f>DAYS360(B11,B13)</f>
        <v>20694</v>
      </c>
      <c r="L40" s="31"/>
      <c r="M40" s="31"/>
      <c r="N40" s="31"/>
      <c r="O40" s="31"/>
      <c r="P40" s="31"/>
      <c r="Q40" s="72">
        <f t="shared" si="1"/>
        <v>53</v>
      </c>
      <c r="R40" s="70">
        <v>5.65</v>
      </c>
      <c r="S40" s="70">
        <f t="shared" si="0"/>
        <v>36</v>
      </c>
      <c r="T40" s="70">
        <v>30.04</v>
      </c>
    </row>
    <row r="41" spans="1:20" ht="12.75">
      <c r="A41" s="6"/>
      <c r="B41" s="11"/>
      <c r="C41" s="6"/>
      <c r="D41" s="6"/>
      <c r="E41" s="6"/>
      <c r="F41" s="6"/>
      <c r="G41" s="6"/>
      <c r="H41" s="31" t="s">
        <v>39</v>
      </c>
      <c r="I41" s="31"/>
      <c r="J41" s="31"/>
      <c r="K41" s="64">
        <f>INT(K40/360)</f>
        <v>57</v>
      </c>
      <c r="L41" s="31"/>
      <c r="M41" s="31"/>
      <c r="N41" s="64"/>
      <c r="O41" s="31"/>
      <c r="P41" s="31"/>
      <c r="Q41" s="72">
        <f t="shared" si="1"/>
        <v>54</v>
      </c>
      <c r="R41" s="70">
        <v>5.74</v>
      </c>
      <c r="S41" s="70">
        <f t="shared" si="0"/>
        <v>37</v>
      </c>
      <c r="T41" s="70">
        <v>29.28</v>
      </c>
    </row>
    <row r="42" spans="1:20" ht="12.75">
      <c r="A42" s="6"/>
      <c r="B42" s="11"/>
      <c r="C42" s="6"/>
      <c r="D42" s="6"/>
      <c r="E42" s="6"/>
      <c r="F42" s="6"/>
      <c r="G42" s="6"/>
      <c r="H42" s="31" t="s">
        <v>40</v>
      </c>
      <c r="I42" s="31"/>
      <c r="J42" s="31"/>
      <c r="K42" s="64">
        <f>INT(MOD(K40,360)/30)</f>
        <v>5</v>
      </c>
      <c r="L42" s="31"/>
      <c r="M42" s="31"/>
      <c r="N42" s="64"/>
      <c r="O42" s="31"/>
      <c r="P42" s="31"/>
      <c r="Q42" s="72">
        <f t="shared" si="1"/>
        <v>55</v>
      </c>
      <c r="R42" s="70">
        <v>5.83</v>
      </c>
      <c r="S42" s="70">
        <f t="shared" si="0"/>
        <v>38</v>
      </c>
      <c r="T42" s="70">
        <v>28.56</v>
      </c>
    </row>
    <row r="43" spans="1:20" ht="12.75">
      <c r="A43" s="6"/>
      <c r="B43" s="11"/>
      <c r="C43" s="6"/>
      <c r="D43" s="6"/>
      <c r="E43" s="6"/>
      <c r="F43" s="6"/>
      <c r="G43" s="6"/>
      <c r="H43" s="31" t="s">
        <v>41</v>
      </c>
      <c r="I43" s="31"/>
      <c r="J43" s="31"/>
      <c r="K43" s="33">
        <f>K40-K41*360-K42*30</f>
        <v>24</v>
      </c>
      <c r="L43" s="31"/>
      <c r="M43" s="31"/>
      <c r="N43" s="33"/>
      <c r="O43" s="31"/>
      <c r="P43" s="31"/>
      <c r="Q43" s="72">
        <f t="shared" si="1"/>
        <v>56</v>
      </c>
      <c r="R43" s="70">
        <v>5.93</v>
      </c>
      <c r="S43" s="70">
        <f t="shared" si="0"/>
        <v>39</v>
      </c>
      <c r="T43" s="70">
        <v>27.87</v>
      </c>
    </row>
    <row r="44" spans="1:20" ht="12.75">
      <c r="A44" s="6"/>
      <c r="B44" s="11"/>
      <c r="C44" s="6"/>
      <c r="D44" s="6"/>
      <c r="E44" s="6"/>
      <c r="F44" s="6"/>
      <c r="G44" s="6"/>
      <c r="H44" s="31" t="s">
        <v>42</v>
      </c>
      <c r="I44" s="31"/>
      <c r="J44" s="31"/>
      <c r="K44" s="33">
        <f>IF(K42*30+K43&gt;180,K41+1,K41)</f>
        <v>57</v>
      </c>
      <c r="L44" s="31"/>
      <c r="M44" s="31"/>
      <c r="N44" s="33"/>
      <c r="O44" s="31"/>
      <c r="P44" s="31"/>
      <c r="Q44" s="72">
        <f t="shared" si="1"/>
        <v>57</v>
      </c>
      <c r="R44" s="70">
        <v>6.03</v>
      </c>
      <c r="S44" s="70">
        <f t="shared" si="0"/>
        <v>40</v>
      </c>
      <c r="T44" s="70">
        <v>27.23</v>
      </c>
    </row>
    <row r="45" spans="1:20" ht="12.75">
      <c r="A45" s="6"/>
      <c r="B45" s="11"/>
      <c r="C45" s="6"/>
      <c r="D45" s="6"/>
      <c r="E45" s="6"/>
      <c r="F45" s="6"/>
      <c r="G45" s="6"/>
      <c r="H45" s="31"/>
      <c r="I45" s="31"/>
      <c r="J45" s="31"/>
      <c r="K45" s="33"/>
      <c r="L45" s="31"/>
      <c r="M45" s="31"/>
      <c r="N45" s="33"/>
      <c r="O45" s="31"/>
      <c r="P45" s="31"/>
      <c r="Q45" s="72">
        <f t="shared" si="1"/>
        <v>58</v>
      </c>
      <c r="R45" s="70">
        <v>6.14</v>
      </c>
      <c r="S45" s="70">
        <f t="shared" si="0"/>
        <v>41</v>
      </c>
      <c r="T45" s="70">
        <v>26.61</v>
      </c>
    </row>
    <row r="46" spans="1:20" ht="12.75">
      <c r="A46" s="6"/>
      <c r="B46" s="11"/>
      <c r="C46" s="6"/>
      <c r="D46" s="6"/>
      <c r="E46" s="6"/>
      <c r="F46" s="6"/>
      <c r="G46" s="6"/>
      <c r="H46" s="31"/>
      <c r="I46" s="31"/>
      <c r="J46" s="31"/>
      <c r="K46" s="64"/>
      <c r="L46" s="31"/>
      <c r="M46" s="31"/>
      <c r="N46" s="64"/>
      <c r="O46" s="31"/>
      <c r="P46" s="31"/>
      <c r="Q46" s="72">
        <f t="shared" si="1"/>
        <v>59</v>
      </c>
      <c r="R46" s="70">
        <v>6.24</v>
      </c>
      <c r="S46" s="70">
        <f t="shared" si="0"/>
        <v>42</v>
      </c>
      <c r="T46" s="70">
        <v>26.02</v>
      </c>
    </row>
    <row r="47" spans="1:20" ht="12.75">
      <c r="A47" s="6"/>
      <c r="B47" s="11"/>
      <c r="C47" s="6"/>
      <c r="D47" s="6"/>
      <c r="E47" s="6"/>
      <c r="F47" s="6"/>
      <c r="G47" s="6"/>
      <c r="H47" s="31"/>
      <c r="I47" s="31"/>
      <c r="J47" s="31"/>
      <c r="K47" s="42"/>
      <c r="L47" s="31"/>
      <c r="M47" s="31"/>
      <c r="N47" s="42"/>
      <c r="O47" s="31"/>
      <c r="P47" s="31"/>
      <c r="Q47" s="72">
        <f t="shared" si="1"/>
        <v>60</v>
      </c>
      <c r="R47" s="70">
        <v>6.34</v>
      </c>
      <c r="S47" s="70">
        <f t="shared" si="0"/>
        <v>43</v>
      </c>
      <c r="T47" s="70">
        <v>25.46</v>
      </c>
    </row>
    <row r="48" spans="1:20" ht="12.75">
      <c r="A48" s="6"/>
      <c r="B48" s="11"/>
      <c r="C48" s="6"/>
      <c r="D48" s="6"/>
      <c r="E48" s="6"/>
      <c r="F48" s="6"/>
      <c r="G48" s="6"/>
      <c r="H48" s="31"/>
      <c r="I48" s="31"/>
      <c r="J48" s="31"/>
      <c r="K48" s="65"/>
      <c r="L48" s="31"/>
      <c r="M48" s="31"/>
      <c r="N48" s="65"/>
      <c r="O48" s="31"/>
      <c r="P48" s="31"/>
      <c r="Q48" s="72">
        <f t="shared" si="1"/>
        <v>61</v>
      </c>
      <c r="R48" s="70">
        <v>6.47</v>
      </c>
      <c r="S48" s="70">
        <f t="shared" si="0"/>
        <v>44</v>
      </c>
      <c r="T48" s="70">
        <v>24.93</v>
      </c>
    </row>
    <row r="49" spans="1:20" ht="12.75">
      <c r="A49" s="6"/>
      <c r="B49" s="11"/>
      <c r="C49" s="6"/>
      <c r="D49" s="6"/>
      <c r="E49" s="6"/>
      <c r="F49" s="6"/>
      <c r="G49" s="6"/>
      <c r="H49" s="31"/>
      <c r="I49" s="31"/>
      <c r="J49" s="31"/>
      <c r="K49" s="33"/>
      <c r="L49" s="31"/>
      <c r="M49" s="31"/>
      <c r="N49" s="33"/>
      <c r="O49" s="31"/>
      <c r="P49" s="31"/>
      <c r="Q49" s="72">
        <f t="shared" si="1"/>
        <v>62</v>
      </c>
      <c r="R49" s="70">
        <v>6.59</v>
      </c>
      <c r="S49" s="70">
        <f t="shared" si="0"/>
        <v>45</v>
      </c>
      <c r="T49" s="70">
        <v>24.42</v>
      </c>
    </row>
    <row r="50" spans="1:20" ht="12.75">
      <c r="A50" s="6"/>
      <c r="B50" s="11"/>
      <c r="C50" s="6"/>
      <c r="D50" s="6"/>
      <c r="E50" s="6"/>
      <c r="F50" s="6"/>
      <c r="G50" s="6"/>
      <c r="H50" s="31"/>
      <c r="I50" s="31"/>
      <c r="J50" s="31"/>
      <c r="K50" s="33"/>
      <c r="L50" s="31"/>
      <c r="M50" s="31"/>
      <c r="N50" s="33"/>
      <c r="O50" s="31"/>
      <c r="P50" s="31"/>
      <c r="Q50" s="72">
        <f t="shared" si="1"/>
        <v>63</v>
      </c>
      <c r="R50" s="70">
        <v>6.71</v>
      </c>
      <c r="S50" s="70">
        <f t="shared" si="0"/>
        <v>46</v>
      </c>
      <c r="T50" s="70">
        <v>23.93</v>
      </c>
    </row>
    <row r="51" spans="1:20" ht="12.75">
      <c r="A51" s="6"/>
      <c r="B51" s="11"/>
      <c r="C51" s="6"/>
      <c r="D51" s="6"/>
      <c r="E51" s="6"/>
      <c r="F51" s="6"/>
      <c r="G51" s="6"/>
      <c r="H51" s="31"/>
      <c r="I51" s="31"/>
      <c r="J51" s="31"/>
      <c r="K51" s="33"/>
      <c r="L51" s="31"/>
      <c r="M51" s="31"/>
      <c r="N51" s="33"/>
      <c r="O51" s="31"/>
      <c r="P51" s="31"/>
      <c r="Q51" s="72">
        <f t="shared" si="1"/>
        <v>64</v>
      </c>
      <c r="R51" s="70">
        <v>6.83</v>
      </c>
      <c r="S51" s="70">
        <f t="shared" si="0"/>
        <v>47</v>
      </c>
      <c r="T51" s="70">
        <v>23.46</v>
      </c>
    </row>
    <row r="52" spans="1:20" ht="12.75">
      <c r="A52" s="6"/>
      <c r="B52" s="11"/>
      <c r="C52" s="6"/>
      <c r="D52" s="6"/>
      <c r="E52" s="6"/>
      <c r="F52" s="6"/>
      <c r="G52" s="6"/>
      <c r="H52" s="31"/>
      <c r="I52" s="31"/>
      <c r="J52" s="31"/>
      <c r="K52" s="64"/>
      <c r="L52" s="31"/>
      <c r="M52" s="31"/>
      <c r="N52" s="64"/>
      <c r="O52" s="31"/>
      <c r="P52" s="31"/>
      <c r="Q52" s="72">
        <f t="shared" si="1"/>
        <v>65</v>
      </c>
      <c r="R52" s="70">
        <v>6.94</v>
      </c>
      <c r="S52" s="70">
        <f t="shared" si="0"/>
        <v>48</v>
      </c>
      <c r="T52" s="70">
        <v>23.01</v>
      </c>
    </row>
    <row r="53" spans="1:20" ht="12.75">
      <c r="A53" s="6"/>
      <c r="B53" s="11"/>
      <c r="C53" s="6"/>
      <c r="D53" s="6"/>
      <c r="E53" s="6"/>
      <c r="F53" s="6"/>
      <c r="G53" s="6"/>
      <c r="H53" s="31"/>
      <c r="I53" s="31"/>
      <c r="J53" s="31"/>
      <c r="K53" s="34"/>
      <c r="L53" s="31"/>
      <c r="M53" s="31"/>
      <c r="N53" s="34"/>
      <c r="O53" s="31"/>
      <c r="P53" s="31"/>
      <c r="Q53" s="72">
        <f t="shared" si="1"/>
        <v>66</v>
      </c>
      <c r="R53" s="70">
        <v>6.94</v>
      </c>
      <c r="S53" s="70">
        <f t="shared" si="0"/>
        <v>49</v>
      </c>
      <c r="T53" s="70">
        <v>22.59</v>
      </c>
    </row>
    <row r="54" spans="1:20" ht="12.75">
      <c r="A54" s="6"/>
      <c r="B54" s="11"/>
      <c r="C54" s="6"/>
      <c r="D54" s="6"/>
      <c r="E54" s="6"/>
      <c r="F54" s="6"/>
      <c r="G54" s="6"/>
      <c r="H54" s="31"/>
      <c r="I54" s="31"/>
      <c r="J54" s="31"/>
      <c r="K54" s="33"/>
      <c r="L54" s="31"/>
      <c r="M54" s="31"/>
      <c r="N54" s="33"/>
      <c r="O54" s="31"/>
      <c r="P54" s="31"/>
      <c r="Q54" s="72">
        <f t="shared" si="1"/>
        <v>67</v>
      </c>
      <c r="R54" s="70">
        <v>6.94</v>
      </c>
      <c r="S54" s="70">
        <f t="shared" si="0"/>
        <v>50</v>
      </c>
      <c r="T54" s="70">
        <v>22.17</v>
      </c>
    </row>
    <row r="55" spans="1:20" ht="12.75">
      <c r="A55" s="6"/>
      <c r="B55" s="11"/>
      <c r="C55" s="6"/>
      <c r="D55" s="6"/>
      <c r="E55" s="6"/>
      <c r="F55" s="6"/>
      <c r="G55" s="6"/>
      <c r="H55" s="31"/>
      <c r="I55" s="31"/>
      <c r="J55" s="31"/>
      <c r="K55" s="33"/>
      <c r="L55" s="31"/>
      <c r="M55" s="31"/>
      <c r="N55" s="33"/>
      <c r="O55" s="31"/>
      <c r="P55" s="31"/>
      <c r="Q55" s="72">
        <f t="shared" si="1"/>
        <v>68</v>
      </c>
      <c r="R55" s="70">
        <v>6.94</v>
      </c>
      <c r="S55" s="70">
        <f t="shared" si="0"/>
        <v>51</v>
      </c>
      <c r="T55" s="70">
        <v>21.78</v>
      </c>
    </row>
    <row r="56" spans="1:20" ht="12.75">
      <c r="A56" s="6"/>
      <c r="B56" s="11"/>
      <c r="C56" s="6"/>
      <c r="D56" s="6"/>
      <c r="E56" s="6"/>
      <c r="F56" s="6"/>
      <c r="G56" s="6"/>
      <c r="H56" s="31"/>
      <c r="I56" s="31"/>
      <c r="J56" s="31"/>
      <c r="K56" s="64"/>
      <c r="L56" s="31"/>
      <c r="M56" s="31"/>
      <c r="N56" s="64"/>
      <c r="O56" s="31"/>
      <c r="P56" s="31"/>
      <c r="Q56" s="72">
        <f t="shared" si="1"/>
        <v>69</v>
      </c>
      <c r="R56" s="70">
        <v>6.94</v>
      </c>
      <c r="S56" s="70">
        <f t="shared" si="0"/>
        <v>52</v>
      </c>
      <c r="T56" s="73">
        <v>21.4</v>
      </c>
    </row>
    <row r="57" spans="1:20" ht="12.75">
      <c r="A57" s="6"/>
      <c r="B57" s="11"/>
      <c r="C57" s="6"/>
      <c r="D57" s="6"/>
      <c r="E57" s="6"/>
      <c r="F57" s="6"/>
      <c r="G57" s="6"/>
      <c r="H57" s="31"/>
      <c r="I57" s="31"/>
      <c r="J57" s="31"/>
      <c r="K57" s="64"/>
      <c r="L57" s="31"/>
      <c r="M57" s="31"/>
      <c r="N57" s="64"/>
      <c r="O57" s="31"/>
      <c r="P57" s="31"/>
      <c r="Q57" s="72">
        <f t="shared" si="1"/>
        <v>70</v>
      </c>
      <c r="R57" s="70">
        <v>6.94</v>
      </c>
      <c r="S57" s="70">
        <f t="shared" si="0"/>
        <v>53</v>
      </c>
      <c r="T57" s="70">
        <v>21.03</v>
      </c>
    </row>
    <row r="58" spans="1:20" ht="12.75">
      <c r="A58" s="6"/>
      <c r="B58" s="11"/>
      <c r="C58" s="6"/>
      <c r="D58" s="6"/>
      <c r="E58" s="6"/>
      <c r="F58" s="6"/>
      <c r="G58" s="6"/>
      <c r="H58" s="31"/>
      <c r="I58" s="31"/>
      <c r="J58" s="31"/>
      <c r="K58" s="64"/>
      <c r="L58" s="31"/>
      <c r="M58" s="31"/>
      <c r="N58" s="64"/>
      <c r="O58" s="31"/>
      <c r="P58" s="31"/>
      <c r="Q58" s="70"/>
      <c r="R58" s="70"/>
      <c r="S58" s="70">
        <f t="shared" si="0"/>
        <v>54</v>
      </c>
      <c r="T58" s="70">
        <v>20.68</v>
      </c>
    </row>
    <row r="59" spans="1:20" ht="12.75">
      <c r="A59" s="6"/>
      <c r="B59" s="11"/>
      <c r="C59" s="6"/>
      <c r="D59" s="6"/>
      <c r="E59" s="6"/>
      <c r="F59" s="6"/>
      <c r="G59" s="6"/>
      <c r="H59" s="31"/>
      <c r="I59" s="31"/>
      <c r="J59" s="31"/>
      <c r="K59" s="64"/>
      <c r="L59" s="31"/>
      <c r="M59" s="31"/>
      <c r="N59" s="64"/>
      <c r="O59" s="31"/>
      <c r="P59" s="31"/>
      <c r="Q59" s="70"/>
      <c r="R59" s="70"/>
      <c r="S59" s="70">
        <f t="shared" si="0"/>
        <v>55</v>
      </c>
      <c r="T59" s="70">
        <v>20.34</v>
      </c>
    </row>
    <row r="60" spans="1:20" ht="12.75">
      <c r="A60" s="6"/>
      <c r="B60" s="11"/>
      <c r="C60" s="6"/>
      <c r="D60" s="6"/>
      <c r="E60" s="6"/>
      <c r="F60" s="6"/>
      <c r="G60" s="6"/>
      <c r="H60" s="31"/>
      <c r="I60" s="31"/>
      <c r="J60" s="31"/>
      <c r="K60" s="31"/>
      <c r="L60" s="31"/>
      <c r="M60" s="31"/>
      <c r="N60" s="31"/>
      <c r="O60" s="31"/>
      <c r="P60" s="31"/>
      <c r="Q60" s="70"/>
      <c r="R60" s="70"/>
      <c r="S60" s="70">
        <f t="shared" si="0"/>
        <v>56</v>
      </c>
      <c r="T60" s="70">
        <v>20.01</v>
      </c>
    </row>
    <row r="61" spans="1:20" ht="12.75">
      <c r="A61" s="6"/>
      <c r="B61" s="11"/>
      <c r="C61" s="6"/>
      <c r="D61" s="6"/>
      <c r="E61" s="6"/>
      <c r="F61" s="6"/>
      <c r="G61" s="6"/>
      <c r="H61" s="31"/>
      <c r="I61" s="31"/>
      <c r="J61" s="31"/>
      <c r="K61" s="31"/>
      <c r="L61" s="31"/>
      <c r="M61" s="31"/>
      <c r="N61" s="31"/>
      <c r="O61" s="31"/>
      <c r="P61" s="31"/>
      <c r="Q61" s="70"/>
      <c r="R61" s="70"/>
      <c r="S61" s="70">
        <f t="shared" si="0"/>
        <v>57</v>
      </c>
      <c r="T61" s="70">
        <v>19.69</v>
      </c>
    </row>
    <row r="62" spans="1:20" ht="12.75">
      <c r="A62" s="6"/>
      <c r="B62" s="11"/>
      <c r="C62" s="6"/>
      <c r="D62" s="6"/>
      <c r="E62" s="6"/>
      <c r="F62" s="6"/>
      <c r="G62" s="6"/>
      <c r="H62" s="31"/>
      <c r="I62" s="31"/>
      <c r="J62" s="31"/>
      <c r="K62" s="31"/>
      <c r="L62" s="31"/>
      <c r="M62" s="64"/>
      <c r="N62" s="64"/>
      <c r="O62" s="31"/>
      <c r="P62" s="31"/>
      <c r="Q62" s="70"/>
      <c r="R62" s="70"/>
      <c r="S62" s="70">
        <f t="shared" si="0"/>
        <v>58</v>
      </c>
      <c r="T62" s="70">
        <v>19.39</v>
      </c>
    </row>
    <row r="63" spans="1:20" ht="12.75">
      <c r="A63" s="6"/>
      <c r="B63" s="11"/>
      <c r="C63" s="6"/>
      <c r="D63" s="6"/>
      <c r="E63" s="6"/>
      <c r="F63" s="6"/>
      <c r="G63" s="6"/>
      <c r="H63" s="31"/>
      <c r="I63" s="31"/>
      <c r="J63" s="31"/>
      <c r="K63" s="31"/>
      <c r="L63" s="31"/>
      <c r="M63" s="64"/>
      <c r="N63" s="64"/>
      <c r="O63" s="31"/>
      <c r="P63" s="31"/>
      <c r="Q63" s="70"/>
      <c r="R63" s="70"/>
      <c r="S63" s="70">
        <f t="shared" si="0"/>
        <v>59</v>
      </c>
      <c r="T63" s="70">
        <v>19.09</v>
      </c>
    </row>
    <row r="64" spans="1:20" ht="12.75">
      <c r="A64" s="6"/>
      <c r="B64" s="11"/>
      <c r="C64" s="6"/>
      <c r="D64" s="6"/>
      <c r="E64" s="6"/>
      <c r="F64" s="6"/>
      <c r="G64" s="6"/>
      <c r="H64" s="31"/>
      <c r="I64" s="31"/>
      <c r="J64" s="31"/>
      <c r="K64" s="31"/>
      <c r="L64" s="31"/>
      <c r="M64" s="64"/>
      <c r="N64" s="64"/>
      <c r="O64" s="31"/>
      <c r="P64" s="31"/>
      <c r="Q64" s="70"/>
      <c r="R64" s="70"/>
      <c r="S64" s="70">
        <f t="shared" si="0"/>
        <v>60</v>
      </c>
      <c r="T64" s="70">
        <v>18.81</v>
      </c>
    </row>
    <row r="65" spans="1:20" ht="12.75">
      <c r="A65" s="6"/>
      <c r="B65" s="11"/>
      <c r="C65" s="6"/>
      <c r="D65" s="6"/>
      <c r="E65" s="6"/>
      <c r="F65" s="6"/>
      <c r="G65" s="6"/>
      <c r="H65" s="31"/>
      <c r="I65" s="31"/>
      <c r="J65" s="31"/>
      <c r="K65" s="41"/>
      <c r="L65" s="31"/>
      <c r="M65" s="31"/>
      <c r="N65" s="31"/>
      <c r="O65" s="31"/>
      <c r="P65" s="31"/>
      <c r="Q65" s="70"/>
      <c r="R65" s="70"/>
      <c r="S65" s="70">
        <f t="shared" si="0"/>
        <v>61</v>
      </c>
      <c r="T65" s="70">
        <v>18.53</v>
      </c>
    </row>
    <row r="66" spans="1:20" ht="12.75">
      <c r="A66" s="6"/>
      <c r="B66" s="11"/>
      <c r="C66" s="6"/>
      <c r="D66" s="6"/>
      <c r="E66" s="6"/>
      <c r="F66" s="6"/>
      <c r="G66" s="6"/>
      <c r="H66" s="31"/>
      <c r="I66" s="31"/>
      <c r="J66" s="31"/>
      <c r="K66" s="41"/>
      <c r="L66" s="31"/>
      <c r="M66" s="31"/>
      <c r="N66" s="31"/>
      <c r="O66" s="31"/>
      <c r="P66" s="31"/>
      <c r="Q66" s="70"/>
      <c r="R66" s="70"/>
      <c r="S66" s="70">
        <f t="shared" si="0"/>
        <v>62</v>
      </c>
      <c r="T66" s="70">
        <v>18.27</v>
      </c>
    </row>
    <row r="67" spans="1:20" ht="12.75">
      <c r="A67" s="6"/>
      <c r="B67" s="11"/>
      <c r="C67" s="6"/>
      <c r="D67" s="6"/>
      <c r="E67" s="6"/>
      <c r="F67" s="6"/>
      <c r="G67" s="6"/>
      <c r="H67" s="31"/>
      <c r="I67" s="31"/>
      <c r="J67" s="31"/>
      <c r="K67" s="31"/>
      <c r="L67" s="31"/>
      <c r="M67" s="31"/>
      <c r="N67" s="31"/>
      <c r="O67" s="31"/>
      <c r="P67" s="31"/>
      <c r="Q67" s="70"/>
      <c r="R67" s="70"/>
      <c r="S67" s="70">
        <f t="shared" si="0"/>
        <v>63</v>
      </c>
      <c r="T67" s="70">
        <v>18.01</v>
      </c>
    </row>
    <row r="68" spans="1:20" ht="12.75">
      <c r="A68" s="6"/>
      <c r="B68" s="11"/>
      <c r="C68" s="6"/>
      <c r="D68" s="6"/>
      <c r="E68" s="6"/>
      <c r="F68" s="6"/>
      <c r="G68" s="6"/>
      <c r="H68" s="31"/>
      <c r="I68" s="31"/>
      <c r="J68" s="31"/>
      <c r="K68" s="31"/>
      <c r="L68" s="31"/>
      <c r="M68" s="31"/>
      <c r="N68" s="31"/>
      <c r="O68" s="31"/>
      <c r="P68" s="31"/>
      <c r="Q68" s="70"/>
      <c r="R68" s="70"/>
      <c r="S68" s="70">
        <f t="shared" si="0"/>
        <v>64</v>
      </c>
      <c r="T68" s="70">
        <v>17.76</v>
      </c>
    </row>
    <row r="69" spans="1:20" ht="12.75">
      <c r="A69" s="6"/>
      <c r="B69" s="11"/>
      <c r="C69" s="6"/>
      <c r="D69" s="6"/>
      <c r="E69" s="6"/>
      <c r="F69" s="6"/>
      <c r="G69" s="6"/>
      <c r="H69" s="31"/>
      <c r="I69" s="31"/>
      <c r="J69" s="31"/>
      <c r="K69" s="31"/>
      <c r="L69" s="31"/>
      <c r="M69" s="31"/>
      <c r="N69" s="31"/>
      <c r="O69" s="31"/>
      <c r="P69" s="31"/>
      <c r="Q69" s="70"/>
      <c r="R69" s="70"/>
      <c r="S69" s="70">
        <f t="shared" si="0"/>
        <v>65</v>
      </c>
      <c r="T69" s="70">
        <v>17.51</v>
      </c>
    </row>
    <row r="70" spans="1:20" ht="12.75">
      <c r="A70" s="6"/>
      <c r="B70" s="11"/>
      <c r="C70" s="6"/>
      <c r="D70" s="6"/>
      <c r="E70" s="6"/>
      <c r="F70" s="6"/>
      <c r="G70" s="6"/>
      <c r="H70" s="31"/>
      <c r="I70" s="31"/>
      <c r="J70" s="31"/>
      <c r="K70" s="31"/>
      <c r="L70" s="31"/>
      <c r="M70" s="31"/>
      <c r="N70" s="31"/>
      <c r="O70" s="31"/>
      <c r="P70" s="31"/>
      <c r="Q70" s="70"/>
      <c r="R70" s="70"/>
      <c r="S70" s="70">
        <f t="shared" si="0"/>
        <v>66</v>
      </c>
      <c r="T70" s="70">
        <v>17.28</v>
      </c>
    </row>
    <row r="71" spans="1:20" ht="12.75">
      <c r="A71" s="6"/>
      <c r="B71" s="11"/>
      <c r="C71" s="6"/>
      <c r="D71" s="6"/>
      <c r="E71" s="6"/>
      <c r="F71" s="6"/>
      <c r="G71" s="6"/>
      <c r="H71" s="31"/>
      <c r="I71" s="31"/>
      <c r="J71" s="31"/>
      <c r="K71" s="31"/>
      <c r="L71" s="31"/>
      <c r="M71" s="31"/>
      <c r="N71" s="31"/>
      <c r="O71" s="31"/>
      <c r="P71" s="31"/>
      <c r="Q71" s="70"/>
      <c r="R71" s="70"/>
      <c r="S71" s="70">
        <f aca="true" t="shared" si="2" ref="S71:S134">S70+1</f>
        <v>67</v>
      </c>
      <c r="T71" s="70">
        <v>17.05</v>
      </c>
    </row>
    <row r="72" spans="1:20" ht="12.75">
      <c r="A72" s="6"/>
      <c r="B72" s="11" t="s">
        <v>0</v>
      </c>
      <c r="C72" s="6"/>
      <c r="D72" s="6"/>
      <c r="E72" s="6"/>
      <c r="F72" s="6"/>
      <c r="G72" s="6"/>
      <c r="H72" s="31"/>
      <c r="I72" s="31"/>
      <c r="J72" s="31"/>
      <c r="K72" s="31"/>
      <c r="L72" s="31"/>
      <c r="M72" s="31"/>
      <c r="N72" s="31"/>
      <c r="O72" s="31"/>
      <c r="P72" s="31"/>
      <c r="Q72" s="70"/>
      <c r="R72" s="70"/>
      <c r="S72" s="70">
        <f t="shared" si="2"/>
        <v>68</v>
      </c>
      <c r="T72" s="70">
        <v>16.83</v>
      </c>
    </row>
    <row r="73" spans="1:20" ht="12.75">
      <c r="A73" s="6"/>
      <c r="B73" s="11" t="s">
        <v>0</v>
      </c>
      <c r="C73" s="6"/>
      <c r="D73" s="6"/>
      <c r="E73" s="6"/>
      <c r="F73" s="6"/>
      <c r="G73" s="6"/>
      <c r="H73" s="31"/>
      <c r="I73" s="31"/>
      <c r="J73" s="31"/>
      <c r="K73" s="31"/>
      <c r="L73" s="31"/>
      <c r="M73" s="31"/>
      <c r="N73" s="31"/>
      <c r="O73" s="31"/>
      <c r="P73" s="31"/>
      <c r="Q73" s="70"/>
      <c r="R73" s="70"/>
      <c r="S73" s="70">
        <f t="shared" si="2"/>
        <v>69</v>
      </c>
      <c r="T73" s="70">
        <v>16.62</v>
      </c>
    </row>
    <row r="74" spans="1:20" ht="12.75">
      <c r="A74" s="6"/>
      <c r="B74" s="11" t="s">
        <v>0</v>
      </c>
      <c r="C74" s="6"/>
      <c r="D74" s="6"/>
      <c r="E74" s="6"/>
      <c r="F74" s="6"/>
      <c r="G74" s="6"/>
      <c r="H74" s="31"/>
      <c r="I74" s="31"/>
      <c r="J74" s="31"/>
      <c r="K74" s="31"/>
      <c r="L74" s="31"/>
      <c r="M74" s="31"/>
      <c r="N74" s="31"/>
      <c r="O74" s="31"/>
      <c r="P74" s="31"/>
      <c r="Q74" s="70"/>
      <c r="R74" s="70"/>
      <c r="S74" s="70">
        <f t="shared" si="2"/>
        <v>70</v>
      </c>
      <c r="T74" s="70">
        <v>16.41</v>
      </c>
    </row>
    <row r="75" spans="1:20" ht="12.75">
      <c r="A75" s="6"/>
      <c r="B75" s="11" t="s">
        <v>0</v>
      </c>
      <c r="C75" s="6"/>
      <c r="D75" s="6"/>
      <c r="E75" s="6"/>
      <c r="F75" s="6"/>
      <c r="G75" s="6"/>
      <c r="H75" s="31"/>
      <c r="I75" s="31"/>
      <c r="J75" s="31"/>
      <c r="K75" s="31"/>
      <c r="L75" s="31"/>
      <c r="M75" s="31"/>
      <c r="N75" s="31"/>
      <c r="O75" s="31"/>
      <c r="P75" s="31"/>
      <c r="Q75" s="70"/>
      <c r="R75" s="70"/>
      <c r="S75" s="70">
        <f t="shared" si="2"/>
        <v>71</v>
      </c>
      <c r="T75" s="73">
        <v>16.2</v>
      </c>
    </row>
    <row r="76" spans="1:20" ht="12.75">
      <c r="A76" s="6"/>
      <c r="B76" s="11" t="s">
        <v>0</v>
      </c>
      <c r="C76" s="6"/>
      <c r="D76" s="6"/>
      <c r="E76" s="6"/>
      <c r="F76" s="6"/>
      <c r="G76" s="6"/>
      <c r="H76" s="31"/>
      <c r="I76" s="31"/>
      <c r="J76" s="31"/>
      <c r="K76" s="31"/>
      <c r="L76" s="31"/>
      <c r="M76" s="31"/>
      <c r="N76" s="31"/>
      <c r="O76" s="31"/>
      <c r="P76" s="31"/>
      <c r="Q76" s="70"/>
      <c r="R76" s="70"/>
      <c r="S76" s="70">
        <f t="shared" si="2"/>
        <v>72</v>
      </c>
      <c r="T76" s="70">
        <v>16.01</v>
      </c>
    </row>
    <row r="77" spans="1:20" ht="12.75">
      <c r="A77" s="6"/>
      <c r="B77" s="11" t="s">
        <v>0</v>
      </c>
      <c r="C77" s="6"/>
      <c r="D77" s="6"/>
      <c r="E77" s="6"/>
      <c r="F77" s="6"/>
      <c r="G77" s="6"/>
      <c r="H77" s="31"/>
      <c r="I77" s="31"/>
      <c r="J77" s="31"/>
      <c r="K77" s="31"/>
      <c r="L77" s="31"/>
      <c r="M77" s="31"/>
      <c r="N77" s="31"/>
      <c r="O77" s="31"/>
      <c r="P77" s="31"/>
      <c r="Q77" s="70"/>
      <c r="R77" s="70"/>
      <c r="S77" s="70">
        <f t="shared" si="2"/>
        <v>73</v>
      </c>
      <c r="T77" s="70">
        <v>15.82</v>
      </c>
    </row>
    <row r="78" spans="1:20" ht="12.75">
      <c r="A78" s="6"/>
      <c r="B78" s="11" t="s">
        <v>0</v>
      </c>
      <c r="C78" s="6"/>
      <c r="D78" s="6"/>
      <c r="E78" s="6"/>
      <c r="F78" s="6"/>
      <c r="G78" s="6"/>
      <c r="H78" s="31"/>
      <c r="I78" s="31"/>
      <c r="J78" s="31"/>
      <c r="K78" s="31"/>
      <c r="L78" s="31"/>
      <c r="M78" s="31"/>
      <c r="N78" s="31"/>
      <c r="O78" s="31"/>
      <c r="P78" s="31"/>
      <c r="Q78" s="70"/>
      <c r="R78" s="70"/>
      <c r="S78" s="70">
        <f t="shared" si="2"/>
        <v>74</v>
      </c>
      <c r="T78" s="70">
        <v>15.63</v>
      </c>
    </row>
    <row r="79" spans="1:20" ht="12.75">
      <c r="A79" s="6"/>
      <c r="B79" s="11" t="s">
        <v>0</v>
      </c>
      <c r="C79" s="6"/>
      <c r="D79" s="6"/>
      <c r="E79" s="6"/>
      <c r="F79" s="6"/>
      <c r="G79" s="6"/>
      <c r="H79" s="31"/>
      <c r="I79" s="31"/>
      <c r="J79" s="31"/>
      <c r="K79" s="31"/>
      <c r="L79" s="31"/>
      <c r="M79" s="31"/>
      <c r="N79" s="31"/>
      <c r="O79" s="31"/>
      <c r="P79" s="31"/>
      <c r="Q79" s="70"/>
      <c r="R79" s="70"/>
      <c r="S79" s="70">
        <f t="shared" si="2"/>
        <v>75</v>
      </c>
      <c r="T79" s="70">
        <v>15.45</v>
      </c>
    </row>
    <row r="80" spans="1:20" ht="12.75">
      <c r="A80" s="6"/>
      <c r="B80" s="11" t="s">
        <v>0</v>
      </c>
      <c r="C80" s="6"/>
      <c r="D80" s="6"/>
      <c r="E80" s="6"/>
      <c r="F80" s="6"/>
      <c r="G80" s="6"/>
      <c r="H80" s="31"/>
      <c r="I80" s="31"/>
      <c r="J80" s="31"/>
      <c r="K80" s="31"/>
      <c r="L80" s="31"/>
      <c r="M80" s="31"/>
      <c r="N80" s="31"/>
      <c r="O80" s="31"/>
      <c r="P80" s="31"/>
      <c r="Q80" s="70"/>
      <c r="R80" s="70"/>
      <c r="S80" s="70">
        <f t="shared" si="2"/>
        <v>76</v>
      </c>
      <c r="T80" s="70">
        <v>15.27</v>
      </c>
    </row>
    <row r="81" spans="1:20" ht="12.75">
      <c r="A81" s="6"/>
      <c r="B81" s="11" t="s">
        <v>0</v>
      </c>
      <c r="C81" s="6"/>
      <c r="D81" s="6"/>
      <c r="E81" s="6"/>
      <c r="F81" s="6"/>
      <c r="G81" s="6"/>
      <c r="H81" s="31"/>
      <c r="I81" s="31"/>
      <c r="J81" s="31"/>
      <c r="K81" s="31"/>
      <c r="L81" s="31"/>
      <c r="M81" s="31"/>
      <c r="N81" s="31"/>
      <c r="O81" s="31"/>
      <c r="P81" s="31"/>
      <c r="Q81" s="70"/>
      <c r="R81" s="70"/>
      <c r="S81" s="70">
        <f t="shared" si="2"/>
        <v>77</v>
      </c>
      <c r="T81" s="73">
        <v>15.1</v>
      </c>
    </row>
    <row r="82" spans="1:20" ht="12.75">
      <c r="A82" s="6"/>
      <c r="B82" s="11" t="s">
        <v>0</v>
      </c>
      <c r="C82" s="6"/>
      <c r="D82" s="6"/>
      <c r="E82" s="6"/>
      <c r="F82" s="6"/>
      <c r="G82" s="6"/>
      <c r="H82" s="31"/>
      <c r="I82" s="31"/>
      <c r="J82" s="31"/>
      <c r="K82" s="31"/>
      <c r="L82" s="31"/>
      <c r="M82" s="31"/>
      <c r="N82" s="31"/>
      <c r="O82" s="31"/>
      <c r="P82" s="31"/>
      <c r="Q82" s="70"/>
      <c r="R82" s="70"/>
      <c r="S82" s="70">
        <f t="shared" si="2"/>
        <v>78</v>
      </c>
      <c r="T82" s="70">
        <v>14.93</v>
      </c>
    </row>
    <row r="83" spans="1:20" ht="12.75">
      <c r="A83" s="6"/>
      <c r="B83" s="11" t="s">
        <v>0</v>
      </c>
      <c r="C83" s="6"/>
      <c r="D83" s="6"/>
      <c r="E83" s="6"/>
      <c r="F83" s="6"/>
      <c r="G83" s="6"/>
      <c r="H83" s="31"/>
      <c r="I83" s="31"/>
      <c r="J83" s="31"/>
      <c r="K83" s="31"/>
      <c r="L83" s="31"/>
      <c r="M83" s="31"/>
      <c r="N83" s="31"/>
      <c r="O83" s="31"/>
      <c r="P83" s="31"/>
      <c r="Q83" s="70"/>
      <c r="R83" s="70"/>
      <c r="S83" s="70">
        <f t="shared" si="2"/>
        <v>79</v>
      </c>
      <c r="T83" s="70">
        <v>14.77</v>
      </c>
    </row>
    <row r="84" spans="1:20" ht="12.75">
      <c r="A84" s="6"/>
      <c r="B84" s="11" t="s">
        <v>0</v>
      </c>
      <c r="C84" s="6"/>
      <c r="D84" s="6"/>
      <c r="E84" s="6"/>
      <c r="F84" s="6"/>
      <c r="G84" s="6"/>
      <c r="H84" s="31"/>
      <c r="I84" s="31"/>
      <c r="J84" s="31"/>
      <c r="K84" s="31"/>
      <c r="L84" s="31"/>
      <c r="M84" s="31"/>
      <c r="N84" s="31"/>
      <c r="O84" s="31"/>
      <c r="P84" s="31"/>
      <c r="Q84" s="70"/>
      <c r="R84" s="70"/>
      <c r="S84" s="70">
        <f t="shared" si="2"/>
        <v>80</v>
      </c>
      <c r="T84" s="70">
        <v>14.61</v>
      </c>
    </row>
    <row r="85" spans="1:20" ht="12.75">
      <c r="A85" s="6"/>
      <c r="B85" s="11" t="s">
        <v>0</v>
      </c>
      <c r="C85" s="6"/>
      <c r="D85" s="6"/>
      <c r="E85" s="6"/>
      <c r="F85" s="6"/>
      <c r="G85" s="6"/>
      <c r="H85" s="31"/>
      <c r="I85" s="31"/>
      <c r="J85" s="31"/>
      <c r="K85" s="31"/>
      <c r="L85" s="31"/>
      <c r="M85" s="31"/>
      <c r="N85" s="31"/>
      <c r="O85" s="31"/>
      <c r="P85" s="31"/>
      <c r="Q85" s="70"/>
      <c r="R85" s="70"/>
      <c r="S85" s="70">
        <f t="shared" si="2"/>
        <v>81</v>
      </c>
      <c r="T85" s="70">
        <v>14.45</v>
      </c>
    </row>
    <row r="86" spans="1:20" ht="12.75">
      <c r="A86" s="6"/>
      <c r="B86" s="11"/>
      <c r="C86" s="6"/>
      <c r="D86" s="6"/>
      <c r="E86" s="6"/>
      <c r="F86" s="6"/>
      <c r="G86" s="6"/>
      <c r="H86" s="31"/>
      <c r="I86" s="31"/>
      <c r="J86" s="31"/>
      <c r="K86" s="31"/>
      <c r="L86" s="31"/>
      <c r="M86" s="31"/>
      <c r="N86" s="31"/>
      <c r="O86" s="31"/>
      <c r="P86" s="31"/>
      <c r="Q86" s="70"/>
      <c r="R86" s="70"/>
      <c r="S86" s="70">
        <f t="shared" si="2"/>
        <v>82</v>
      </c>
      <c r="T86" s="73">
        <v>14.3</v>
      </c>
    </row>
    <row r="87" spans="1:20" ht="12.75">
      <c r="A87" s="6"/>
      <c r="B87" s="11"/>
      <c r="C87" s="6"/>
      <c r="D87" s="6"/>
      <c r="E87" s="6"/>
      <c r="F87" s="6"/>
      <c r="G87" s="6"/>
      <c r="H87" s="31"/>
      <c r="I87" s="31"/>
      <c r="J87" s="31"/>
      <c r="K87" s="31"/>
      <c r="L87" s="31"/>
      <c r="M87" s="31"/>
      <c r="N87" s="31"/>
      <c r="O87" s="31"/>
      <c r="P87" s="31"/>
      <c r="Q87" s="70"/>
      <c r="R87" s="70"/>
      <c r="S87" s="70">
        <f t="shared" si="2"/>
        <v>83</v>
      </c>
      <c r="T87" s="70">
        <v>14.16</v>
      </c>
    </row>
    <row r="88" spans="1:20" ht="12.75">
      <c r="A88" s="6"/>
      <c r="B88" s="11" t="s">
        <v>0</v>
      </c>
      <c r="C88" s="6"/>
      <c r="D88" s="6"/>
      <c r="E88" s="6"/>
      <c r="F88" s="6"/>
      <c r="G88" s="6"/>
      <c r="H88" s="31"/>
      <c r="I88" s="31"/>
      <c r="J88" s="31"/>
      <c r="K88" s="31"/>
      <c r="L88" s="31"/>
      <c r="M88" s="31"/>
      <c r="N88" s="31"/>
      <c r="O88" s="31"/>
      <c r="P88" s="31"/>
      <c r="Q88" s="70"/>
      <c r="R88" s="70"/>
      <c r="S88" s="70">
        <f t="shared" si="2"/>
        <v>84</v>
      </c>
      <c r="T88" s="70">
        <v>14.01</v>
      </c>
    </row>
    <row r="89" spans="1:20" ht="12.75">
      <c r="A89" s="6"/>
      <c r="B89" s="11" t="s">
        <v>0</v>
      </c>
      <c r="C89" s="6"/>
      <c r="D89" s="6"/>
      <c r="E89" s="6"/>
      <c r="F89" s="6"/>
      <c r="G89" s="6"/>
      <c r="H89" s="31"/>
      <c r="I89" s="31"/>
      <c r="J89" s="31"/>
      <c r="K89" s="31"/>
      <c r="L89" s="31"/>
      <c r="M89" s="31"/>
      <c r="N89" s="31"/>
      <c r="O89" s="31"/>
      <c r="P89" s="31"/>
      <c r="Q89" s="70"/>
      <c r="R89" s="70"/>
      <c r="S89" s="70">
        <f t="shared" si="2"/>
        <v>85</v>
      </c>
      <c r="T89" s="70">
        <v>13.87</v>
      </c>
    </row>
    <row r="90" spans="1:20" ht="12.75">
      <c r="A90" s="6"/>
      <c r="B90" s="11" t="s">
        <v>0</v>
      </c>
      <c r="C90" s="6"/>
      <c r="D90" s="6"/>
      <c r="E90" s="6"/>
      <c r="F90" s="6"/>
      <c r="G90" s="6"/>
      <c r="H90" s="31"/>
      <c r="I90" s="31"/>
      <c r="J90" s="31"/>
      <c r="K90" s="31"/>
      <c r="L90" s="31"/>
      <c r="M90" s="31"/>
      <c r="N90" s="31"/>
      <c r="O90" s="31"/>
      <c r="P90" s="31"/>
      <c r="Q90" s="70"/>
      <c r="R90" s="70"/>
      <c r="S90" s="70">
        <f t="shared" si="2"/>
        <v>86</v>
      </c>
      <c r="T90" s="70">
        <v>13.73</v>
      </c>
    </row>
    <row r="91" spans="1:20" ht="12.75">
      <c r="A91" s="6"/>
      <c r="B91" s="11" t="s">
        <v>0</v>
      </c>
      <c r="C91" s="6"/>
      <c r="D91" s="6"/>
      <c r="E91" s="6"/>
      <c r="F91" s="6"/>
      <c r="G91" s="6"/>
      <c r="H91" s="31"/>
      <c r="I91" s="31"/>
      <c r="J91" s="31"/>
      <c r="K91" s="31"/>
      <c r="L91" s="31"/>
      <c r="M91" s="31"/>
      <c r="N91" s="31"/>
      <c r="O91" s="31"/>
      <c r="P91" s="31"/>
      <c r="Q91" s="70"/>
      <c r="R91" s="70"/>
      <c r="S91" s="70">
        <f t="shared" si="2"/>
        <v>87</v>
      </c>
      <c r="T91" s="73">
        <v>13.6</v>
      </c>
    </row>
    <row r="92" spans="1:20" ht="12.75">
      <c r="A92" s="6"/>
      <c r="B92" s="11" t="s">
        <v>0</v>
      </c>
      <c r="C92" s="6"/>
      <c r="D92" s="6"/>
      <c r="E92" s="6"/>
      <c r="F92" s="6"/>
      <c r="G92" s="6"/>
      <c r="H92" s="31"/>
      <c r="I92" s="31"/>
      <c r="J92" s="31"/>
      <c r="K92" s="31"/>
      <c r="L92" s="31"/>
      <c r="M92" s="31"/>
      <c r="N92" s="31"/>
      <c r="O92" s="31"/>
      <c r="P92" s="31"/>
      <c r="Q92" s="70"/>
      <c r="R92" s="70"/>
      <c r="S92" s="70">
        <f t="shared" si="2"/>
        <v>88</v>
      </c>
      <c r="T92" s="70">
        <v>13.47</v>
      </c>
    </row>
    <row r="93" spans="1:20" ht="12.75">
      <c r="A93" s="6"/>
      <c r="B93" s="11" t="s">
        <v>0</v>
      </c>
      <c r="C93" s="6"/>
      <c r="D93" s="6"/>
      <c r="E93" s="6"/>
      <c r="F93" s="6"/>
      <c r="G93" s="6"/>
      <c r="H93" s="31"/>
      <c r="I93" s="31"/>
      <c r="J93" s="31"/>
      <c r="K93" s="31"/>
      <c r="L93" s="31"/>
      <c r="M93" s="31"/>
      <c r="N93" s="31"/>
      <c r="O93" s="31"/>
      <c r="P93" s="31"/>
      <c r="Q93" s="70"/>
      <c r="R93" s="70"/>
      <c r="S93" s="70">
        <f t="shared" si="2"/>
        <v>89</v>
      </c>
      <c r="T93" s="70">
        <v>13.34</v>
      </c>
    </row>
    <row r="94" spans="1:20" ht="12.75">
      <c r="A94" s="6"/>
      <c r="B94" s="11" t="s">
        <v>0</v>
      </c>
      <c r="C94" s="6"/>
      <c r="D94" s="6"/>
      <c r="E94" s="6"/>
      <c r="F94" s="6"/>
      <c r="G94" s="6"/>
      <c r="H94" s="31"/>
      <c r="I94" s="31"/>
      <c r="J94" s="31"/>
      <c r="K94" s="31"/>
      <c r="L94" s="31"/>
      <c r="M94" s="31"/>
      <c r="N94" s="31"/>
      <c r="O94" s="31"/>
      <c r="P94" s="31"/>
      <c r="Q94" s="70"/>
      <c r="R94" s="70"/>
      <c r="S94" s="70">
        <f t="shared" si="2"/>
        <v>90</v>
      </c>
      <c r="T94" s="70">
        <v>13.21</v>
      </c>
    </row>
    <row r="95" spans="1:20" ht="12.75">
      <c r="A95" s="6"/>
      <c r="B95" s="11"/>
      <c r="C95" s="6"/>
      <c r="D95" s="6"/>
      <c r="E95" s="6"/>
      <c r="F95" s="6"/>
      <c r="G95" s="6"/>
      <c r="H95" s="31"/>
      <c r="I95" s="31"/>
      <c r="J95" s="31"/>
      <c r="K95" s="31"/>
      <c r="L95" s="31"/>
      <c r="M95" s="31"/>
      <c r="N95" s="31"/>
      <c r="O95" s="31"/>
      <c r="P95" s="31"/>
      <c r="Q95" s="70"/>
      <c r="R95" s="70"/>
      <c r="S95" s="70">
        <f t="shared" si="2"/>
        <v>91</v>
      </c>
      <c r="T95" s="70">
        <v>13.09</v>
      </c>
    </row>
    <row r="96" spans="1:20" ht="12.75">
      <c r="A96" s="6"/>
      <c r="B96" s="11"/>
      <c r="C96" s="6"/>
      <c r="D96" s="6"/>
      <c r="E96" s="6"/>
      <c r="F96" s="6"/>
      <c r="G96" s="6"/>
      <c r="H96" s="31"/>
      <c r="I96" s="31"/>
      <c r="J96" s="31"/>
      <c r="K96" s="31"/>
      <c r="L96" s="31"/>
      <c r="M96" s="31"/>
      <c r="N96" s="31"/>
      <c r="O96" s="31"/>
      <c r="P96" s="31"/>
      <c r="Q96" s="70"/>
      <c r="R96" s="70"/>
      <c r="S96" s="70">
        <f t="shared" si="2"/>
        <v>92</v>
      </c>
      <c r="T96" s="70">
        <v>12.97</v>
      </c>
    </row>
    <row r="97" spans="1:20" ht="12.75">
      <c r="A97" s="6"/>
      <c r="B97" s="11"/>
      <c r="C97" s="6"/>
      <c r="D97" s="6"/>
      <c r="E97" s="6"/>
      <c r="F97" s="6"/>
      <c r="G97" s="6"/>
      <c r="H97" s="31"/>
      <c r="I97" s="31"/>
      <c r="J97" s="31"/>
      <c r="K97" s="31"/>
      <c r="L97" s="31"/>
      <c r="M97" s="31"/>
      <c r="N97" s="31"/>
      <c r="O97" s="31"/>
      <c r="P97" s="31"/>
      <c r="Q97" s="70"/>
      <c r="R97" s="70"/>
      <c r="S97" s="70">
        <f t="shared" si="2"/>
        <v>93</v>
      </c>
      <c r="T97" s="70">
        <v>12.85</v>
      </c>
    </row>
    <row r="98" spans="1:20" ht="12.75">
      <c r="A98" s="6"/>
      <c r="B98" s="11" t="s">
        <v>0</v>
      </c>
      <c r="C98" s="6"/>
      <c r="D98" s="6"/>
      <c r="E98" s="6"/>
      <c r="F98" s="6"/>
      <c r="G98" s="6"/>
      <c r="H98" s="31"/>
      <c r="I98" s="31"/>
      <c r="J98" s="31"/>
      <c r="K98" s="31"/>
      <c r="L98" s="31"/>
      <c r="M98" s="31"/>
      <c r="N98" s="31"/>
      <c r="O98" s="31"/>
      <c r="P98" s="31"/>
      <c r="Q98" s="70"/>
      <c r="R98" s="70"/>
      <c r="S98" s="70">
        <f t="shared" si="2"/>
        <v>94</v>
      </c>
      <c r="T98" s="70">
        <v>12.74</v>
      </c>
    </row>
    <row r="99" spans="1:20" ht="12.75">
      <c r="A99" s="6"/>
      <c r="B99" s="11" t="s">
        <v>0</v>
      </c>
      <c r="C99" s="6"/>
      <c r="D99" s="6"/>
      <c r="E99" s="6"/>
      <c r="F99" s="6"/>
      <c r="G99" s="6"/>
      <c r="H99" s="31"/>
      <c r="I99" s="31"/>
      <c r="J99" s="31"/>
      <c r="K99" s="31"/>
      <c r="L99" s="31"/>
      <c r="M99" s="31"/>
      <c r="N99" s="31"/>
      <c r="O99" s="31"/>
      <c r="P99" s="31"/>
      <c r="Q99" s="70"/>
      <c r="R99" s="70"/>
      <c r="S99" s="70">
        <f t="shared" si="2"/>
        <v>95</v>
      </c>
      <c r="T99" s="70">
        <v>12.63</v>
      </c>
    </row>
    <row r="100" spans="1:20" ht="12.75">
      <c r="A100" s="6"/>
      <c r="B100" s="11" t="s">
        <v>0</v>
      </c>
      <c r="C100" s="6"/>
      <c r="D100" s="6"/>
      <c r="E100" s="6"/>
      <c r="F100" s="6"/>
      <c r="G100" s="6"/>
      <c r="H100" s="31"/>
      <c r="I100" s="31"/>
      <c r="J100" s="31"/>
      <c r="K100" s="31"/>
      <c r="L100" s="31"/>
      <c r="M100" s="31"/>
      <c r="N100" s="31"/>
      <c r="O100" s="31"/>
      <c r="P100" s="31"/>
      <c r="Q100" s="70"/>
      <c r="R100" s="70"/>
      <c r="S100" s="70">
        <f t="shared" si="2"/>
        <v>96</v>
      </c>
      <c r="T100" s="70">
        <v>12.52</v>
      </c>
    </row>
    <row r="101" spans="1:20" ht="12.75">
      <c r="A101" s="6"/>
      <c r="B101" s="11" t="s">
        <v>0</v>
      </c>
      <c r="C101" s="6"/>
      <c r="D101" s="6"/>
      <c r="E101" s="6"/>
      <c r="F101" s="6"/>
      <c r="G101" s="6"/>
      <c r="H101" s="31"/>
      <c r="I101" s="31"/>
      <c r="J101" s="31"/>
      <c r="K101" s="31"/>
      <c r="L101" s="31"/>
      <c r="M101" s="31"/>
      <c r="N101" s="31"/>
      <c r="O101" s="31"/>
      <c r="P101" s="31"/>
      <c r="Q101" s="70"/>
      <c r="R101" s="70"/>
      <c r="S101" s="70">
        <f t="shared" si="2"/>
        <v>97</v>
      </c>
      <c r="T101" s="70">
        <v>12.41</v>
      </c>
    </row>
    <row r="102" spans="1:20" ht="12.75">
      <c r="A102" s="6"/>
      <c r="B102" s="11" t="s">
        <v>0</v>
      </c>
      <c r="C102" s="6"/>
      <c r="D102" s="6"/>
      <c r="E102" s="6"/>
      <c r="F102" s="6"/>
      <c r="G102" s="6"/>
      <c r="H102" s="31"/>
      <c r="I102" s="31"/>
      <c r="J102" s="31"/>
      <c r="K102" s="31"/>
      <c r="L102" s="31"/>
      <c r="M102" s="31"/>
      <c r="N102" s="31"/>
      <c r="O102" s="31"/>
      <c r="P102" s="31"/>
      <c r="Q102" s="70"/>
      <c r="R102" s="70"/>
      <c r="S102" s="70">
        <f t="shared" si="2"/>
        <v>98</v>
      </c>
      <c r="T102" s="73">
        <v>12.3</v>
      </c>
    </row>
    <row r="103" spans="1:20" ht="12.75">
      <c r="A103" s="6"/>
      <c r="B103" s="11" t="s">
        <v>0</v>
      </c>
      <c r="C103" s="6"/>
      <c r="D103" s="6"/>
      <c r="E103" s="6"/>
      <c r="F103" s="6"/>
      <c r="G103" s="6"/>
      <c r="H103" s="31"/>
      <c r="I103" s="31"/>
      <c r="J103" s="31"/>
      <c r="K103" s="31"/>
      <c r="L103" s="31"/>
      <c r="M103" s="31"/>
      <c r="N103" s="31"/>
      <c r="O103" s="31"/>
      <c r="P103" s="31"/>
      <c r="Q103" s="70"/>
      <c r="R103" s="70"/>
      <c r="S103" s="70">
        <f t="shared" si="2"/>
        <v>99</v>
      </c>
      <c r="T103" s="73">
        <v>12.2</v>
      </c>
    </row>
    <row r="104" spans="1:20" ht="12.75">
      <c r="A104" s="6"/>
      <c r="B104" s="11" t="s">
        <v>0</v>
      </c>
      <c r="C104" s="6"/>
      <c r="D104" s="6"/>
      <c r="E104" s="6"/>
      <c r="F104" s="6"/>
      <c r="G104" s="6"/>
      <c r="H104" s="31"/>
      <c r="I104" s="31"/>
      <c r="J104" s="31"/>
      <c r="K104" s="31"/>
      <c r="L104" s="31"/>
      <c r="M104" s="31"/>
      <c r="N104" s="31"/>
      <c r="O104" s="31"/>
      <c r="P104" s="31"/>
      <c r="Q104" s="70"/>
      <c r="R104" s="70"/>
      <c r="S104" s="70">
        <f t="shared" si="2"/>
        <v>100</v>
      </c>
      <c r="T104" s="73">
        <v>12.1</v>
      </c>
    </row>
    <row r="105" spans="1:20" ht="12.75">
      <c r="A105" s="6"/>
      <c r="B105" s="11" t="s">
        <v>0</v>
      </c>
      <c r="C105" s="6"/>
      <c r="D105" s="6"/>
      <c r="E105" s="6"/>
      <c r="F105" s="6"/>
      <c r="G105" s="6"/>
      <c r="H105" s="31"/>
      <c r="I105" s="31"/>
      <c r="J105" s="31"/>
      <c r="K105" s="31"/>
      <c r="L105" s="31"/>
      <c r="M105" s="31"/>
      <c r="N105" s="31"/>
      <c r="O105" s="31"/>
      <c r="P105" s="31"/>
      <c r="Q105" s="70"/>
      <c r="R105" s="70"/>
      <c r="S105" s="70">
        <f t="shared" si="2"/>
        <v>101</v>
      </c>
      <c r="T105" s="73">
        <v>12</v>
      </c>
    </row>
    <row r="106" spans="1:20" ht="12.75">
      <c r="A106" s="6"/>
      <c r="B106" s="11" t="s">
        <v>0</v>
      </c>
      <c r="C106" s="6"/>
      <c r="D106" s="6"/>
      <c r="E106" s="6"/>
      <c r="F106" s="6"/>
      <c r="G106" s="6"/>
      <c r="H106" s="31"/>
      <c r="I106" s="31"/>
      <c r="J106" s="31"/>
      <c r="K106" s="31"/>
      <c r="L106" s="31"/>
      <c r="M106" s="31"/>
      <c r="N106" s="31"/>
      <c r="O106" s="31"/>
      <c r="P106" s="31"/>
      <c r="Q106" s="70"/>
      <c r="R106" s="70"/>
      <c r="S106" s="70">
        <f t="shared" si="2"/>
        <v>102</v>
      </c>
      <c r="T106" s="73">
        <v>11.9</v>
      </c>
    </row>
    <row r="107" spans="1:20" ht="12.75">
      <c r="A107" s="6"/>
      <c r="B107" s="11" t="s">
        <v>0</v>
      </c>
      <c r="C107" s="6"/>
      <c r="D107" s="6"/>
      <c r="E107" s="6"/>
      <c r="F107" s="6"/>
      <c r="G107" s="6"/>
      <c r="H107" s="31"/>
      <c r="I107" s="31"/>
      <c r="J107" s="31"/>
      <c r="K107" s="31"/>
      <c r="L107" s="31"/>
      <c r="M107" s="31"/>
      <c r="N107" s="31"/>
      <c r="O107" s="31"/>
      <c r="P107" s="31"/>
      <c r="Q107" s="70"/>
      <c r="R107" s="70"/>
      <c r="S107" s="70">
        <f t="shared" si="2"/>
        <v>103</v>
      </c>
      <c r="T107" s="70">
        <v>11.81</v>
      </c>
    </row>
    <row r="108" spans="1:20" ht="12.75">
      <c r="A108" s="6"/>
      <c r="B108" s="11" t="s">
        <v>0</v>
      </c>
      <c r="C108" s="6"/>
      <c r="D108" s="6"/>
      <c r="E108" s="6"/>
      <c r="F108" s="6"/>
      <c r="G108" s="6"/>
      <c r="H108" s="31"/>
      <c r="I108" s="31"/>
      <c r="J108" s="31"/>
      <c r="K108" s="31"/>
      <c r="L108" s="31"/>
      <c r="M108" s="31"/>
      <c r="N108" s="31"/>
      <c r="O108" s="31"/>
      <c r="P108" s="31"/>
      <c r="Q108" s="70"/>
      <c r="R108" s="70"/>
      <c r="S108" s="70">
        <f t="shared" si="2"/>
        <v>104</v>
      </c>
      <c r="T108" s="70">
        <v>11.72</v>
      </c>
    </row>
    <row r="109" spans="1:20" ht="12.75">
      <c r="A109" s="6"/>
      <c r="B109" s="11" t="s">
        <v>0</v>
      </c>
      <c r="C109" s="6"/>
      <c r="D109" s="6"/>
      <c r="E109" s="6"/>
      <c r="F109" s="6"/>
      <c r="G109" s="6"/>
      <c r="H109" s="31"/>
      <c r="I109" s="31"/>
      <c r="J109" s="31"/>
      <c r="K109" s="31"/>
      <c r="L109" s="31"/>
      <c r="M109" s="31"/>
      <c r="N109" s="31"/>
      <c r="O109" s="31"/>
      <c r="P109" s="31"/>
      <c r="Q109" s="70"/>
      <c r="R109" s="70"/>
      <c r="S109" s="70">
        <f t="shared" si="2"/>
        <v>105</v>
      </c>
      <c r="T109" s="70">
        <v>11.62</v>
      </c>
    </row>
    <row r="110" spans="1:20" ht="12.75">
      <c r="A110" s="6"/>
      <c r="B110" s="11" t="s">
        <v>0</v>
      </c>
      <c r="C110" s="6"/>
      <c r="D110" s="6"/>
      <c r="E110" s="6"/>
      <c r="F110" s="6"/>
      <c r="G110" s="6"/>
      <c r="H110" s="31"/>
      <c r="I110" s="31"/>
      <c r="J110" s="31"/>
      <c r="K110" s="31"/>
      <c r="L110" s="31"/>
      <c r="M110" s="31"/>
      <c r="N110" s="31"/>
      <c r="O110" s="31"/>
      <c r="P110" s="31"/>
      <c r="Q110" s="70"/>
      <c r="R110" s="70"/>
      <c r="S110" s="70">
        <f t="shared" si="2"/>
        <v>106</v>
      </c>
      <c r="T110" s="70">
        <v>11.53</v>
      </c>
    </row>
    <row r="111" spans="1:20" ht="12.75">
      <c r="A111" s="6"/>
      <c r="B111" s="11" t="s">
        <v>0</v>
      </c>
      <c r="C111" s="6"/>
      <c r="D111" s="6"/>
      <c r="E111" s="6"/>
      <c r="F111" s="6"/>
      <c r="G111" s="6"/>
      <c r="H111" s="31"/>
      <c r="I111" s="31"/>
      <c r="J111" s="31"/>
      <c r="K111" s="31"/>
      <c r="L111" s="31"/>
      <c r="M111" s="31"/>
      <c r="N111" s="31"/>
      <c r="O111" s="31"/>
      <c r="P111" s="31"/>
      <c r="Q111" s="70"/>
      <c r="R111" s="70"/>
      <c r="S111" s="70">
        <f t="shared" si="2"/>
        <v>107</v>
      </c>
      <c r="T111" s="70">
        <v>11.45</v>
      </c>
    </row>
    <row r="112" spans="1:20" ht="12.75">
      <c r="A112" s="6"/>
      <c r="B112" s="11"/>
      <c r="C112" s="6"/>
      <c r="D112" s="6"/>
      <c r="E112" s="6"/>
      <c r="F112" s="6"/>
      <c r="G112" s="6"/>
      <c r="H112" s="31"/>
      <c r="I112" s="31"/>
      <c r="J112" s="31"/>
      <c r="K112" s="31"/>
      <c r="L112" s="31"/>
      <c r="M112" s="31"/>
      <c r="N112" s="31"/>
      <c r="O112" s="31"/>
      <c r="P112" s="31"/>
      <c r="Q112" s="70"/>
      <c r="R112" s="70"/>
      <c r="S112" s="70">
        <f t="shared" si="2"/>
        <v>108</v>
      </c>
      <c r="T112" s="70">
        <v>11.36</v>
      </c>
    </row>
    <row r="113" spans="1:20" ht="12.75">
      <c r="A113" s="6"/>
      <c r="B113" s="11" t="s">
        <v>0</v>
      </c>
      <c r="C113" s="6"/>
      <c r="D113" s="6"/>
      <c r="E113" s="6"/>
      <c r="F113" s="6"/>
      <c r="G113" s="6"/>
      <c r="H113" s="31"/>
      <c r="I113" s="31"/>
      <c r="J113" s="31"/>
      <c r="K113" s="31"/>
      <c r="L113" s="31"/>
      <c r="M113" s="31"/>
      <c r="N113" s="31"/>
      <c r="O113" s="31"/>
      <c r="P113" s="31"/>
      <c r="Q113" s="70"/>
      <c r="R113" s="70"/>
      <c r="S113" s="70">
        <f t="shared" si="2"/>
        <v>109</v>
      </c>
      <c r="T113" s="70">
        <v>11.27</v>
      </c>
    </row>
    <row r="114" spans="1:20" ht="12.75">
      <c r="A114" s="6"/>
      <c r="B114" s="11" t="s">
        <v>0</v>
      </c>
      <c r="C114" s="6"/>
      <c r="D114" s="6"/>
      <c r="E114" s="6"/>
      <c r="F114" s="6"/>
      <c r="G114" s="6"/>
      <c r="H114" s="35" t="s">
        <v>8</v>
      </c>
      <c r="I114" s="35"/>
      <c r="J114" s="35"/>
      <c r="K114" s="31"/>
      <c r="L114" s="31"/>
      <c r="M114" s="31"/>
      <c r="N114" s="31"/>
      <c r="O114" s="31"/>
      <c r="P114" s="31"/>
      <c r="Q114" s="70"/>
      <c r="R114" s="70"/>
      <c r="S114" s="70">
        <f t="shared" si="2"/>
        <v>110</v>
      </c>
      <c r="T114" s="70">
        <v>11.19</v>
      </c>
    </row>
    <row r="115" spans="1:20" ht="12.75">
      <c r="A115" s="6"/>
      <c r="B115" s="11" t="s">
        <v>0</v>
      </c>
      <c r="C115" s="6"/>
      <c r="D115" s="6"/>
      <c r="E115" s="6"/>
      <c r="F115" s="6"/>
      <c r="G115" s="6"/>
      <c r="H115" s="31"/>
      <c r="I115" s="31"/>
      <c r="J115" s="31"/>
      <c r="K115" s="31"/>
      <c r="L115" s="31"/>
      <c r="M115" s="31"/>
      <c r="N115" s="31"/>
      <c r="O115" s="31"/>
      <c r="P115" s="31"/>
      <c r="Q115" s="70"/>
      <c r="R115" s="70"/>
      <c r="S115" s="70">
        <f t="shared" si="2"/>
        <v>111</v>
      </c>
      <c r="T115" s="70">
        <v>11.11</v>
      </c>
    </row>
    <row r="116" spans="1:20" ht="12.75">
      <c r="A116" s="6"/>
      <c r="B116" s="11" t="s">
        <v>0</v>
      </c>
      <c r="C116" s="6"/>
      <c r="D116" s="6"/>
      <c r="E116" s="6"/>
      <c r="F116" s="6"/>
      <c r="G116" s="6"/>
      <c r="H116" s="10"/>
      <c r="I116" s="10"/>
      <c r="J116" s="10"/>
      <c r="K116" s="10"/>
      <c r="L116" s="10"/>
      <c r="M116" s="10"/>
      <c r="N116" s="31"/>
      <c r="O116" s="70"/>
      <c r="P116" s="70"/>
      <c r="Q116" s="70"/>
      <c r="R116" s="70"/>
      <c r="S116" s="70">
        <f t="shared" si="2"/>
        <v>112</v>
      </c>
      <c r="T116" s="70">
        <v>11.03</v>
      </c>
    </row>
    <row r="117" spans="1:20" ht="12.75">
      <c r="A117" s="6"/>
      <c r="B117" s="11"/>
      <c r="C117" s="6"/>
      <c r="D117" s="6"/>
      <c r="E117" s="6"/>
      <c r="F117" s="6"/>
      <c r="G117" s="6"/>
      <c r="H117" s="10"/>
      <c r="I117" s="10"/>
      <c r="J117" s="10"/>
      <c r="K117" s="10"/>
      <c r="L117" s="10"/>
      <c r="M117" s="10"/>
      <c r="N117" s="31"/>
      <c r="O117" s="70"/>
      <c r="P117" s="70"/>
      <c r="Q117" s="70"/>
      <c r="R117" s="70"/>
      <c r="S117" s="70">
        <f t="shared" si="2"/>
        <v>113</v>
      </c>
      <c r="T117" s="70">
        <v>10.95</v>
      </c>
    </row>
    <row r="118" spans="1:20" ht="20.25">
      <c r="A118" s="6"/>
      <c r="B118" s="11"/>
      <c r="C118" s="6"/>
      <c r="D118" s="6"/>
      <c r="E118" s="6"/>
      <c r="F118" s="6"/>
      <c r="G118" s="6"/>
      <c r="H118" s="12" t="str">
        <f>A3</f>
        <v>minapoli software</v>
      </c>
      <c r="I118" s="12"/>
      <c r="J118" s="12"/>
      <c r="K118" s="10"/>
      <c r="L118" s="10"/>
      <c r="M118" s="10"/>
      <c r="N118" s="31"/>
      <c r="O118" s="70"/>
      <c r="P118" s="70"/>
      <c r="Q118" s="70"/>
      <c r="R118" s="70"/>
      <c r="S118" s="70">
        <f t="shared" si="2"/>
        <v>114</v>
      </c>
      <c r="T118" s="70">
        <v>10.87</v>
      </c>
    </row>
    <row r="119" spans="1:20" ht="20.25">
      <c r="A119" s="6"/>
      <c r="B119" s="11"/>
      <c r="C119" s="6"/>
      <c r="D119" s="6"/>
      <c r="E119" s="6"/>
      <c r="F119" s="6"/>
      <c r="G119" s="6"/>
      <c r="H119" s="12"/>
      <c r="I119" s="10"/>
      <c r="J119" s="10"/>
      <c r="K119" s="10"/>
      <c r="L119" s="10" t="s">
        <v>0</v>
      </c>
      <c r="M119" s="10"/>
      <c r="N119" s="31"/>
      <c r="O119" s="70"/>
      <c r="P119" s="70"/>
      <c r="Q119" s="70"/>
      <c r="R119" s="70"/>
      <c r="S119" s="70">
        <f t="shared" si="2"/>
        <v>115</v>
      </c>
      <c r="T119" s="73">
        <v>10.8</v>
      </c>
    </row>
    <row r="120" spans="1:20" ht="12.75">
      <c r="A120" s="6"/>
      <c r="B120" s="11"/>
      <c r="C120" s="6"/>
      <c r="D120" s="6"/>
      <c r="E120" s="6"/>
      <c r="F120" s="6"/>
      <c r="G120" s="6"/>
      <c r="H120" s="10"/>
      <c r="I120" s="10"/>
      <c r="J120" s="10"/>
      <c r="K120" s="10"/>
      <c r="L120" s="10"/>
      <c r="M120" s="10"/>
      <c r="N120" s="31"/>
      <c r="O120" s="70"/>
      <c r="P120" s="70"/>
      <c r="Q120" s="70"/>
      <c r="R120" s="70"/>
      <c r="S120" s="70">
        <f t="shared" si="2"/>
        <v>116</v>
      </c>
      <c r="T120" s="70">
        <v>10.72</v>
      </c>
    </row>
    <row r="121" spans="1:20" ht="12.75">
      <c r="A121" s="6"/>
      <c r="B121" s="11"/>
      <c r="C121" s="6"/>
      <c r="D121" s="6"/>
      <c r="E121" s="6"/>
      <c r="F121" s="6"/>
      <c r="G121" s="6"/>
      <c r="I121" s="10"/>
      <c r="J121" s="10"/>
      <c r="K121" s="10"/>
      <c r="L121" s="10"/>
      <c r="M121" s="10"/>
      <c r="N121" s="31"/>
      <c r="O121" s="70"/>
      <c r="P121" s="70"/>
      <c r="Q121" s="70"/>
      <c r="R121" s="70"/>
      <c r="S121" s="70">
        <f t="shared" si="2"/>
        <v>117</v>
      </c>
      <c r="T121" s="70">
        <v>10.65</v>
      </c>
    </row>
    <row r="122" spans="1:20" ht="15.75">
      <c r="A122" s="6"/>
      <c r="B122" s="11"/>
      <c r="C122" s="6"/>
      <c r="D122" s="6"/>
      <c r="E122" s="6"/>
      <c r="F122" s="6"/>
      <c r="G122" s="6"/>
      <c r="H122" s="59" t="s">
        <v>107</v>
      </c>
      <c r="I122" s="10"/>
      <c r="J122" s="10"/>
      <c r="K122" s="10"/>
      <c r="L122" s="10"/>
      <c r="M122" s="10"/>
      <c r="N122" s="31"/>
      <c r="O122" s="70"/>
      <c r="P122" s="70"/>
      <c r="Q122" s="70"/>
      <c r="R122" s="70"/>
      <c r="S122" s="70">
        <f t="shared" si="2"/>
        <v>118</v>
      </c>
      <c r="T122" s="70">
        <v>10.58</v>
      </c>
    </row>
    <row r="123" spans="1:20" ht="12.75">
      <c r="A123" s="6"/>
      <c r="B123" s="11"/>
      <c r="C123" s="6"/>
      <c r="D123" s="6"/>
      <c r="E123" s="6"/>
      <c r="F123" s="6"/>
      <c r="G123" s="6"/>
      <c r="I123" s="13"/>
      <c r="J123" s="13"/>
      <c r="K123" s="10"/>
      <c r="L123" s="10"/>
      <c r="M123" s="10"/>
      <c r="N123" s="31"/>
      <c r="O123" s="70"/>
      <c r="P123" s="70"/>
      <c r="Q123" s="70"/>
      <c r="R123" s="70"/>
      <c r="S123" s="70">
        <f t="shared" si="2"/>
        <v>119</v>
      </c>
      <c r="T123" s="73">
        <v>10.5</v>
      </c>
    </row>
    <row r="124" spans="1:20" ht="12.75">
      <c r="A124" s="6"/>
      <c r="B124" s="11"/>
      <c r="C124" s="6"/>
      <c r="D124" s="6"/>
      <c r="E124" s="6"/>
      <c r="F124" s="6"/>
      <c r="G124" s="6"/>
      <c r="H124" s="60" t="str">
        <f>A6</f>
        <v>XY</v>
      </c>
      <c r="I124" s="10"/>
      <c r="J124" s="10"/>
      <c r="K124" s="10"/>
      <c r="L124" s="14" t="s">
        <v>0</v>
      </c>
      <c r="M124" s="14" t="s">
        <v>0</v>
      </c>
      <c r="N124" s="31"/>
      <c r="O124" s="70"/>
      <c r="P124" s="70"/>
      <c r="Q124" s="70"/>
      <c r="R124" s="70"/>
      <c r="S124" s="70">
        <f t="shared" si="2"/>
        <v>120</v>
      </c>
      <c r="T124" s="70">
        <v>10.43</v>
      </c>
    </row>
    <row r="125" spans="1:20" ht="12.75">
      <c r="A125" s="6"/>
      <c r="B125" s="11"/>
      <c r="C125" s="6"/>
      <c r="D125" s="6"/>
      <c r="E125" s="6"/>
      <c r="F125" s="6"/>
      <c r="G125" s="6"/>
      <c r="H125" s="60" t="str">
        <f>A8</f>
        <v>Insegnante di scuola elementare</v>
      </c>
      <c r="I125" s="10"/>
      <c r="J125" s="10"/>
      <c r="K125" s="14" t="s">
        <v>0</v>
      </c>
      <c r="L125" s="10"/>
      <c r="M125" s="10"/>
      <c r="N125" s="31"/>
      <c r="O125" s="70"/>
      <c r="P125" s="70"/>
      <c r="Q125" s="70"/>
      <c r="R125" s="70"/>
      <c r="S125" s="70">
        <f t="shared" si="2"/>
        <v>121</v>
      </c>
      <c r="T125" s="70">
        <v>10.37</v>
      </c>
    </row>
    <row r="126" spans="1:20" ht="12.75">
      <c r="A126" s="6"/>
      <c r="B126" s="11"/>
      <c r="C126" s="6"/>
      <c r="D126" s="6"/>
      <c r="E126" s="6"/>
      <c r="F126" s="6"/>
      <c r="G126" s="6"/>
      <c r="H126" s="10"/>
      <c r="I126" s="10"/>
      <c r="J126" s="10"/>
      <c r="K126" s="39"/>
      <c r="L126" s="15"/>
      <c r="M126" s="39"/>
      <c r="N126" s="75"/>
      <c r="O126" s="70"/>
      <c r="P126" s="70"/>
      <c r="Q126" s="70"/>
      <c r="R126" s="70"/>
      <c r="S126" s="70">
        <f t="shared" si="2"/>
        <v>122</v>
      </c>
      <c r="T126" s="73">
        <v>10.3</v>
      </c>
    </row>
    <row r="127" spans="1:20" ht="12.75">
      <c r="A127" s="6"/>
      <c r="B127" s="11"/>
      <c r="C127" s="6"/>
      <c r="D127" s="6"/>
      <c r="E127" s="6"/>
      <c r="F127" s="6"/>
      <c r="G127" s="6"/>
      <c r="H127" s="10" t="s">
        <v>0</v>
      </c>
      <c r="I127" s="10"/>
      <c r="J127" s="10"/>
      <c r="K127" s="15"/>
      <c r="L127" s="15"/>
      <c r="M127" s="15"/>
      <c r="N127" s="75"/>
      <c r="O127" s="70"/>
      <c r="P127" s="70"/>
      <c r="Q127" s="70"/>
      <c r="R127" s="70"/>
      <c r="S127" s="70">
        <f t="shared" si="2"/>
        <v>123</v>
      </c>
      <c r="T127" s="70">
        <v>10.23</v>
      </c>
    </row>
    <row r="128" spans="1:20" ht="12.75">
      <c r="A128" s="6"/>
      <c r="B128" s="11"/>
      <c r="C128" s="6"/>
      <c r="D128" s="6"/>
      <c r="E128" s="6"/>
      <c r="F128" s="6"/>
      <c r="G128" s="6"/>
      <c r="H128" s="10"/>
      <c r="I128" s="10"/>
      <c r="J128" s="10"/>
      <c r="K128" s="14" t="str">
        <f>K4</f>
        <v>euro</v>
      </c>
      <c r="L128" s="58"/>
      <c r="M128" s="14" t="str">
        <f>M4</f>
        <v>lire</v>
      </c>
      <c r="N128" s="75"/>
      <c r="O128" s="70"/>
      <c r="P128" s="70"/>
      <c r="Q128" s="70"/>
      <c r="R128" s="70"/>
      <c r="S128" s="70">
        <f t="shared" si="2"/>
        <v>124</v>
      </c>
      <c r="T128" s="70">
        <v>10.17</v>
      </c>
    </row>
    <row r="129" spans="1:20" ht="12.75">
      <c r="A129" s="6"/>
      <c r="B129" s="11"/>
      <c r="C129" s="6"/>
      <c r="D129" s="6"/>
      <c r="E129" s="6"/>
      <c r="F129" s="6"/>
      <c r="G129" s="6"/>
      <c r="H129" s="10"/>
      <c r="I129" s="10"/>
      <c r="J129" s="10"/>
      <c r="K129" s="52"/>
      <c r="L129" s="37"/>
      <c r="M129" s="38"/>
      <c r="N129" s="75"/>
      <c r="O129" s="70"/>
      <c r="P129" s="70"/>
      <c r="Q129" s="70"/>
      <c r="R129" s="70"/>
      <c r="S129" s="70">
        <f t="shared" si="2"/>
        <v>125</v>
      </c>
      <c r="T129" s="73">
        <v>10.1</v>
      </c>
    </row>
    <row r="130" spans="1:20" ht="12.75">
      <c r="A130" s="6"/>
      <c r="B130" s="11"/>
      <c r="C130" s="6"/>
      <c r="D130" s="6"/>
      <c r="E130" s="6"/>
      <c r="F130" s="6"/>
      <c r="G130" s="6"/>
      <c r="H130" s="10" t="str">
        <f>H6</f>
        <v>Data di presentazione della domanda</v>
      </c>
      <c r="I130" s="10"/>
      <c r="J130" s="80">
        <f>J6</f>
        <v>39692</v>
      </c>
      <c r="K130" s="83">
        <f>K6</f>
        <v>0</v>
      </c>
      <c r="L130" s="81"/>
      <c r="M130" s="82">
        <f aca="true" t="shared" si="3" ref="M130:M145">M6</f>
        <v>0</v>
      </c>
      <c r="N130" s="31"/>
      <c r="O130" s="70"/>
      <c r="P130" s="70"/>
      <c r="Q130" s="70"/>
      <c r="R130" s="70"/>
      <c r="S130" s="70">
        <f t="shared" si="2"/>
        <v>126</v>
      </c>
      <c r="T130" s="70">
        <v>10.04</v>
      </c>
    </row>
    <row r="131" spans="1:20" ht="12.75">
      <c r="A131" s="6"/>
      <c r="B131" s="11"/>
      <c r="C131" s="6"/>
      <c r="D131" s="6"/>
      <c r="E131" s="6"/>
      <c r="F131" s="6"/>
      <c r="G131" s="6"/>
      <c r="H131" s="10" t="str">
        <f>H7</f>
        <v>Età alla data di presentazione della domanda</v>
      </c>
      <c r="I131" s="10"/>
      <c r="J131" s="84">
        <f>J7</f>
        <v>57</v>
      </c>
      <c r="K131" s="83">
        <f>K7</f>
        <v>0</v>
      </c>
      <c r="L131" s="81"/>
      <c r="M131" s="82">
        <f t="shared" si="3"/>
        <v>0</v>
      </c>
      <c r="N131" s="74"/>
      <c r="O131" s="70"/>
      <c r="P131" s="70"/>
      <c r="Q131" s="70"/>
      <c r="R131" s="70"/>
      <c r="S131" s="70">
        <f t="shared" si="2"/>
        <v>127</v>
      </c>
      <c r="T131" s="73">
        <v>9.98</v>
      </c>
    </row>
    <row r="132" spans="1:20" ht="12.75">
      <c r="A132" s="6"/>
      <c r="B132" s="11"/>
      <c r="C132" s="6"/>
      <c r="D132" s="6"/>
      <c r="E132" s="6"/>
      <c r="F132" s="6"/>
      <c r="G132" s="6"/>
      <c r="H132" s="10" t="str">
        <f>H8</f>
        <v>Stipendio annuo alla data di presentazione della domanda</v>
      </c>
      <c r="I132" s="10"/>
      <c r="J132" s="80"/>
      <c r="K132" s="83">
        <f aca="true" t="shared" si="4" ref="K132:K145">K8</f>
        <v>22599.59</v>
      </c>
      <c r="L132" s="81"/>
      <c r="M132" s="82">
        <f t="shared" si="3"/>
        <v>43758908.1293</v>
      </c>
      <c r="N132" s="75"/>
      <c r="O132" s="70"/>
      <c r="P132" s="70"/>
      <c r="Q132" s="70"/>
      <c r="R132" s="70"/>
      <c r="S132" s="70">
        <f t="shared" si="2"/>
        <v>128</v>
      </c>
      <c r="T132" s="70">
        <v>9.92</v>
      </c>
    </row>
    <row r="133" spans="1:20" ht="12.75">
      <c r="A133" s="6"/>
      <c r="B133" s="11"/>
      <c r="C133" s="6"/>
      <c r="D133" s="6"/>
      <c r="E133" s="6"/>
      <c r="F133" s="6"/>
      <c r="G133" s="6"/>
      <c r="H133" s="10" t="str">
        <f>H9</f>
        <v>Eventuale assegno ad personam annuo</v>
      </c>
      <c r="I133" s="10"/>
      <c r="J133" s="80"/>
      <c r="K133" s="83">
        <f t="shared" si="4"/>
        <v>0</v>
      </c>
      <c r="L133" s="81"/>
      <c r="M133" s="82">
        <f t="shared" si="3"/>
        <v>0</v>
      </c>
      <c r="N133" s="75"/>
      <c r="O133" s="70"/>
      <c r="P133" s="70"/>
      <c r="Q133" s="70"/>
      <c r="R133" s="70"/>
      <c r="S133" s="70">
        <f t="shared" si="2"/>
        <v>129</v>
      </c>
      <c r="T133" s="70">
        <v>9.86</v>
      </c>
    </row>
    <row r="134" spans="1:20" ht="12.75">
      <c r="A134" s="6"/>
      <c r="B134" s="11"/>
      <c r="C134" s="6"/>
      <c r="D134" s="6"/>
      <c r="E134" s="6"/>
      <c r="F134" s="6"/>
      <c r="G134" s="6"/>
      <c r="H134" s="10" t="str">
        <f>H10</f>
        <v>Indenntà integrativa speciale annua</v>
      </c>
      <c r="I134" s="10"/>
      <c r="J134" s="80"/>
      <c r="K134" s="83">
        <f t="shared" si="4"/>
        <v>6916.13</v>
      </c>
      <c r="L134" s="81"/>
      <c r="M134" s="82">
        <f t="shared" si="3"/>
        <v>13391495.0351</v>
      </c>
      <c r="N134" s="75"/>
      <c r="O134" s="70"/>
      <c r="P134" s="70"/>
      <c r="Q134" s="70"/>
      <c r="R134" s="70"/>
      <c r="S134" s="70">
        <f t="shared" si="2"/>
        <v>130</v>
      </c>
      <c r="T134" s="73">
        <v>9.8</v>
      </c>
    </row>
    <row r="135" spans="1:20" ht="12.75">
      <c r="A135" s="6"/>
      <c r="B135" s="11"/>
      <c r="C135" s="6"/>
      <c r="D135" s="6"/>
      <c r="E135" s="6"/>
      <c r="F135" s="6"/>
      <c r="G135" s="6"/>
      <c r="H135" s="10"/>
      <c r="I135" s="10"/>
      <c r="J135" s="80"/>
      <c r="K135" s="83">
        <f t="shared" si="4"/>
        <v>0</v>
      </c>
      <c r="L135" s="81"/>
      <c r="M135" s="82">
        <f t="shared" si="3"/>
        <v>0</v>
      </c>
      <c r="N135" s="79"/>
      <c r="O135" s="70"/>
      <c r="P135" s="70"/>
      <c r="Q135" s="70"/>
      <c r="R135" s="70"/>
      <c r="S135" s="70">
        <f aca="true" t="shared" si="5" ref="S135:S184">S134+1</f>
        <v>131</v>
      </c>
      <c r="T135" s="70">
        <v>9.74</v>
      </c>
    </row>
    <row r="136" spans="1:20" ht="12.75">
      <c r="A136" s="6"/>
      <c r="B136" s="11"/>
      <c r="C136" s="6"/>
      <c r="D136" s="6"/>
      <c r="E136" s="6"/>
      <c r="F136" s="6"/>
      <c r="G136" s="6"/>
      <c r="H136" s="36" t="str">
        <f>H12</f>
        <v>Retribuzione complessiva con tredicesima</v>
      </c>
      <c r="I136" s="36"/>
      <c r="J136" s="85"/>
      <c r="K136" s="86">
        <f t="shared" si="4"/>
        <v>29515.72</v>
      </c>
      <c r="L136" s="13"/>
      <c r="M136" s="87">
        <f t="shared" si="3"/>
        <v>57150403.164400004</v>
      </c>
      <c r="N136" s="75"/>
      <c r="O136" s="70"/>
      <c r="P136" s="70"/>
      <c r="Q136" s="70"/>
      <c r="R136" s="70"/>
      <c r="S136" s="70">
        <f t="shared" si="5"/>
        <v>132</v>
      </c>
      <c r="T136" s="70">
        <v>9.68</v>
      </c>
    </row>
    <row r="137" spans="1:20" ht="12.75">
      <c r="A137" s="6"/>
      <c r="B137" s="11"/>
      <c r="C137" s="6"/>
      <c r="D137" s="6"/>
      <c r="E137" s="6"/>
      <c r="F137" s="6"/>
      <c r="G137" s="6"/>
      <c r="H137" s="10"/>
      <c r="I137" s="10"/>
      <c r="J137" s="80"/>
      <c r="K137" s="83">
        <f t="shared" si="4"/>
        <v>0</v>
      </c>
      <c r="L137" s="81"/>
      <c r="M137" s="82">
        <f t="shared" si="3"/>
        <v>0</v>
      </c>
      <c r="N137" s="79"/>
      <c r="O137" s="70"/>
      <c r="P137" s="70"/>
      <c r="Q137" s="70"/>
      <c r="R137" s="70"/>
      <c r="S137" s="70">
        <f t="shared" si="5"/>
        <v>133</v>
      </c>
      <c r="T137" s="70">
        <v>9.62</v>
      </c>
    </row>
    <row r="138" spans="1:20" ht="12.75">
      <c r="A138" s="6"/>
      <c r="B138" s="11"/>
      <c r="C138" s="6"/>
      <c r="D138" s="6"/>
      <c r="E138" s="6"/>
      <c r="F138" s="6"/>
      <c r="G138" s="6"/>
      <c r="H138" s="10" t="str">
        <f>H14</f>
        <v>Periodo da riscattare in mesi</v>
      </c>
      <c r="I138" s="10"/>
      <c r="J138" s="84">
        <f>J14</f>
        <v>8</v>
      </c>
      <c r="K138" s="83">
        <f t="shared" si="4"/>
        <v>0</v>
      </c>
      <c r="L138" s="81"/>
      <c r="M138" s="82">
        <f t="shared" si="3"/>
        <v>0</v>
      </c>
      <c r="N138" s="75"/>
      <c r="O138" s="70"/>
      <c r="P138" s="70"/>
      <c r="Q138" s="70"/>
      <c r="R138" s="70"/>
      <c r="S138" s="70">
        <f t="shared" si="5"/>
        <v>134</v>
      </c>
      <c r="T138" s="70">
        <v>9.57</v>
      </c>
    </row>
    <row r="139" spans="1:20" ht="12.75">
      <c r="A139" s="6"/>
      <c r="B139" s="11"/>
      <c r="C139" s="6"/>
      <c r="D139" s="6"/>
      <c r="E139" s="6"/>
      <c r="F139" s="6"/>
      <c r="G139" s="6"/>
      <c r="H139" s="10" t="str">
        <f>H15</f>
        <v>Coefficiente di riscatto</v>
      </c>
      <c r="I139" s="10"/>
      <c r="J139" s="81">
        <f>J15</f>
        <v>6.03</v>
      </c>
      <c r="K139" s="83">
        <f t="shared" si="4"/>
        <v>0</v>
      </c>
      <c r="L139" s="81"/>
      <c r="M139" s="82">
        <f t="shared" si="3"/>
        <v>0</v>
      </c>
      <c r="N139" s="75"/>
      <c r="O139" s="70"/>
      <c r="P139" s="70"/>
      <c r="Q139" s="70"/>
      <c r="R139" s="70"/>
      <c r="S139" s="70">
        <f t="shared" si="5"/>
        <v>135</v>
      </c>
      <c r="T139" s="70">
        <v>9.51</v>
      </c>
    </row>
    <row r="140" spans="1:20" ht="12.75">
      <c r="A140" s="6"/>
      <c r="B140" s="11"/>
      <c r="C140" s="6"/>
      <c r="D140" s="6"/>
      <c r="E140" s="6"/>
      <c r="F140" s="6"/>
      <c r="G140" s="6"/>
      <c r="H140" s="55" t="str">
        <f>H16</f>
        <v>IMPORTO RISCATTO</v>
      </c>
      <c r="I140" s="55"/>
      <c r="J140" s="88"/>
      <c r="K140" s="89">
        <f t="shared" si="4"/>
        <v>1139.0706662400003</v>
      </c>
      <c r="L140" s="88"/>
      <c r="M140" s="90">
        <f t="shared" si="3"/>
        <v>2205548.3589205253</v>
      </c>
      <c r="N140" s="74"/>
      <c r="O140" s="70"/>
      <c r="P140" s="70"/>
      <c r="Q140" s="70"/>
      <c r="R140" s="70"/>
      <c r="S140" s="70">
        <f t="shared" si="5"/>
        <v>136</v>
      </c>
      <c r="T140" s="70">
        <v>9.46</v>
      </c>
    </row>
    <row r="141" spans="1:20" ht="12.75">
      <c r="A141" s="6"/>
      <c r="B141" s="11"/>
      <c r="C141" s="6"/>
      <c r="D141" s="6"/>
      <c r="E141" s="6"/>
      <c r="F141" s="6"/>
      <c r="G141" s="6"/>
      <c r="H141" s="10"/>
      <c r="I141" s="10"/>
      <c r="J141" s="80"/>
      <c r="K141" s="83">
        <f t="shared" si="4"/>
        <v>0</v>
      </c>
      <c r="L141" s="81"/>
      <c r="M141" s="82">
        <f t="shared" si="3"/>
        <v>0</v>
      </c>
      <c r="N141" s="75"/>
      <c r="O141" s="70"/>
      <c r="P141" s="70"/>
      <c r="Q141" s="70"/>
      <c r="R141" s="70"/>
      <c r="S141" s="70">
        <f t="shared" si="5"/>
        <v>137</v>
      </c>
      <c r="T141" s="70">
        <v>9.41</v>
      </c>
    </row>
    <row r="142" spans="1:20" ht="12.75">
      <c r="A142" s="6"/>
      <c r="B142" s="11"/>
      <c r="C142" s="6"/>
      <c r="D142" s="6"/>
      <c r="E142" s="6"/>
      <c r="F142" s="6"/>
      <c r="G142" s="6"/>
      <c r="H142" s="10"/>
      <c r="I142" s="10"/>
      <c r="J142" s="80"/>
      <c r="K142" s="83">
        <f t="shared" si="4"/>
        <v>0</v>
      </c>
      <c r="L142" s="81"/>
      <c r="M142" s="82">
        <f t="shared" si="3"/>
        <v>0</v>
      </c>
      <c r="N142" s="31"/>
      <c r="O142" s="70"/>
      <c r="P142" s="70"/>
      <c r="Q142" s="70"/>
      <c r="R142" s="70"/>
      <c r="S142" s="70">
        <f t="shared" si="5"/>
        <v>138</v>
      </c>
      <c r="T142" s="70">
        <v>9.35</v>
      </c>
    </row>
    <row r="143" spans="1:20" ht="12.75">
      <c r="A143" s="6"/>
      <c r="B143" s="11"/>
      <c r="C143" s="6"/>
      <c r="D143" s="6"/>
      <c r="E143" s="6"/>
      <c r="F143" s="6"/>
      <c r="G143" s="6"/>
      <c r="H143" s="10" t="str">
        <f>H19</f>
        <v>Pagamento rateale: numero rate</v>
      </c>
      <c r="I143" s="10"/>
      <c r="J143" s="81">
        <f>J19</f>
        <v>8</v>
      </c>
      <c r="K143" s="83">
        <f t="shared" si="4"/>
        <v>0</v>
      </c>
      <c r="L143" s="81"/>
      <c r="M143" s="82">
        <f t="shared" si="3"/>
        <v>0</v>
      </c>
      <c r="N143" s="79"/>
      <c r="O143" s="78"/>
      <c r="P143" s="70"/>
      <c r="Q143" s="70"/>
      <c r="R143" s="70"/>
      <c r="S143" s="70">
        <f t="shared" si="5"/>
        <v>139</v>
      </c>
      <c r="T143" s="73">
        <v>9.3</v>
      </c>
    </row>
    <row r="144" spans="1:20" ht="12.75">
      <c r="A144" s="6"/>
      <c r="B144" s="11"/>
      <c r="C144" s="6"/>
      <c r="D144" s="6"/>
      <c r="E144" s="6"/>
      <c r="F144" s="6"/>
      <c r="G144" s="6"/>
      <c r="H144" s="10" t="str">
        <f>H20</f>
        <v>Coefficiente di rateizzazione</v>
      </c>
      <c r="I144" s="10"/>
      <c r="J144" s="81">
        <f>J20</f>
        <v>128.48</v>
      </c>
      <c r="K144" s="83">
        <f t="shared" si="4"/>
        <v>0</v>
      </c>
      <c r="L144" s="81"/>
      <c r="M144" s="82">
        <f t="shared" si="3"/>
        <v>0</v>
      </c>
      <c r="N144" s="75"/>
      <c r="O144" s="70"/>
      <c r="P144" s="70"/>
      <c r="Q144" s="70"/>
      <c r="R144" s="70"/>
      <c r="S144" s="70">
        <f t="shared" si="5"/>
        <v>140</v>
      </c>
      <c r="T144" s="70">
        <v>9.25</v>
      </c>
    </row>
    <row r="145" spans="1:20" ht="12.75">
      <c r="A145" s="6"/>
      <c r="B145" s="11"/>
      <c r="C145" s="6"/>
      <c r="D145" s="6"/>
      <c r="E145" s="6"/>
      <c r="F145" s="6"/>
      <c r="G145" s="6"/>
      <c r="H145" s="55" t="str">
        <f>H21</f>
        <v>Importo di ogni rata</v>
      </c>
      <c r="I145" s="55"/>
      <c r="J145" s="91"/>
      <c r="K145" s="89">
        <f t="shared" si="4"/>
        <v>146.34779919851522</v>
      </c>
      <c r="L145" s="88"/>
      <c r="M145" s="90">
        <f t="shared" si="3"/>
        <v>283368.85315410903</v>
      </c>
      <c r="N145" s="31"/>
      <c r="O145" s="70"/>
      <c r="P145" s="70"/>
      <c r="Q145" s="70"/>
      <c r="R145" s="70"/>
      <c r="S145" s="70">
        <f t="shared" si="5"/>
        <v>141</v>
      </c>
      <c r="T145" s="73">
        <v>9.2</v>
      </c>
    </row>
    <row r="146" spans="1:20" ht="12.75">
      <c r="A146" s="6"/>
      <c r="B146" s="11"/>
      <c r="C146" s="6"/>
      <c r="D146" s="6"/>
      <c r="E146" s="6"/>
      <c r="F146" s="6"/>
      <c r="G146" s="6"/>
      <c r="H146" s="10"/>
      <c r="I146" s="10"/>
      <c r="J146" s="80"/>
      <c r="K146" s="83"/>
      <c r="L146" s="81"/>
      <c r="M146" s="82"/>
      <c r="N146" s="79"/>
      <c r="O146" s="70"/>
      <c r="P146" s="70"/>
      <c r="Q146" s="70"/>
      <c r="R146" s="70"/>
      <c r="S146" s="70">
        <f t="shared" si="5"/>
        <v>142</v>
      </c>
      <c r="T146" s="70">
        <v>9.15</v>
      </c>
    </row>
    <row r="147" spans="1:20" ht="12.75">
      <c r="A147" s="6"/>
      <c r="B147" s="11"/>
      <c r="C147" s="6"/>
      <c r="D147" s="6"/>
      <c r="E147" s="6"/>
      <c r="F147" s="6"/>
      <c r="G147" s="6"/>
      <c r="H147" s="10"/>
      <c r="I147" s="10"/>
      <c r="J147" s="80"/>
      <c r="K147" s="83"/>
      <c r="L147" s="81"/>
      <c r="M147" s="82"/>
      <c r="N147" s="75"/>
      <c r="O147" s="70"/>
      <c r="P147" s="70"/>
      <c r="Q147" s="70"/>
      <c r="R147" s="70"/>
      <c r="S147" s="70">
        <f t="shared" si="5"/>
        <v>143</v>
      </c>
      <c r="T147" s="73">
        <v>9.1</v>
      </c>
    </row>
    <row r="148" spans="1:20" ht="12.75">
      <c r="A148" s="6"/>
      <c r="B148" s="11"/>
      <c r="C148" s="6"/>
      <c r="D148" s="6"/>
      <c r="E148" s="6"/>
      <c r="F148" s="6"/>
      <c r="G148" s="6"/>
      <c r="H148" s="10"/>
      <c r="I148" s="10"/>
      <c r="J148" s="80"/>
      <c r="K148" s="83"/>
      <c r="L148" s="81"/>
      <c r="M148" s="82"/>
      <c r="N148" s="74"/>
      <c r="O148" s="70"/>
      <c r="P148" s="70"/>
      <c r="Q148" s="70"/>
      <c r="R148" s="70"/>
      <c r="S148" s="70">
        <f t="shared" si="5"/>
        <v>144</v>
      </c>
      <c r="T148" s="70">
        <v>9.05</v>
      </c>
    </row>
    <row r="149" spans="1:20" ht="12.75">
      <c r="A149" s="6"/>
      <c r="B149" s="11"/>
      <c r="C149" s="6"/>
      <c r="D149" s="6"/>
      <c r="E149" s="6"/>
      <c r="F149" s="6"/>
      <c r="G149" s="6"/>
      <c r="H149" s="10"/>
      <c r="I149" s="10"/>
      <c r="J149" s="80"/>
      <c r="K149" s="83"/>
      <c r="L149" s="81"/>
      <c r="M149" s="82"/>
      <c r="N149" s="75"/>
      <c r="O149" s="70"/>
      <c r="P149" s="70"/>
      <c r="Q149" s="70"/>
      <c r="R149" s="70"/>
      <c r="S149" s="70">
        <f t="shared" si="5"/>
        <v>145</v>
      </c>
      <c r="T149" s="70">
        <v>9.01</v>
      </c>
    </row>
    <row r="150" spans="1:20" ht="12.75">
      <c r="A150" s="6"/>
      <c r="B150" s="11"/>
      <c r="C150" s="6"/>
      <c r="D150" s="6"/>
      <c r="E150" s="6"/>
      <c r="F150" s="6"/>
      <c r="G150" s="6"/>
      <c r="H150" s="10"/>
      <c r="I150" s="10"/>
      <c r="J150" s="10"/>
      <c r="K150" s="52"/>
      <c r="L150" s="37"/>
      <c r="M150" s="38"/>
      <c r="N150" s="75"/>
      <c r="O150" s="70"/>
      <c r="P150" s="70"/>
      <c r="Q150" s="70"/>
      <c r="R150" s="70"/>
      <c r="S150" s="70">
        <f t="shared" si="5"/>
        <v>146</v>
      </c>
      <c r="T150" s="70">
        <v>8.96</v>
      </c>
    </row>
    <row r="151" spans="1:20" ht="12.75">
      <c r="A151" s="6"/>
      <c r="B151" s="11"/>
      <c r="C151" s="6"/>
      <c r="D151" s="6"/>
      <c r="E151" s="6"/>
      <c r="F151" s="6"/>
      <c r="G151" s="6"/>
      <c r="H151" s="10"/>
      <c r="I151" s="10"/>
      <c r="J151" s="10"/>
      <c r="K151" s="10"/>
      <c r="L151" s="10"/>
      <c r="M151" s="10"/>
      <c r="N151" s="31"/>
      <c r="O151" s="70"/>
      <c r="P151" s="70"/>
      <c r="Q151" s="70"/>
      <c r="R151" s="70"/>
      <c r="S151" s="70">
        <f t="shared" si="5"/>
        <v>147</v>
      </c>
      <c r="T151" s="70">
        <v>8.91</v>
      </c>
    </row>
    <row r="152" spans="1:20" ht="12.75">
      <c r="A152" s="6"/>
      <c r="B152" s="11"/>
      <c r="C152" s="6"/>
      <c r="D152" s="6"/>
      <c r="E152" s="6"/>
      <c r="F152" s="6"/>
      <c r="G152" s="6"/>
      <c r="I152" s="10"/>
      <c r="J152" s="10"/>
      <c r="K152" s="10"/>
      <c r="L152" s="10"/>
      <c r="M152" s="10"/>
      <c r="N152" s="74"/>
      <c r="O152" s="70"/>
      <c r="P152" s="70"/>
      <c r="Q152" s="70"/>
      <c r="R152" s="70"/>
      <c r="S152" s="70">
        <f t="shared" si="5"/>
        <v>148</v>
      </c>
      <c r="T152" s="70">
        <v>8.87</v>
      </c>
    </row>
    <row r="153" spans="1:20" ht="12.75">
      <c r="A153" s="6"/>
      <c r="B153" s="11"/>
      <c r="C153" s="6"/>
      <c r="D153" s="6"/>
      <c r="E153" s="6"/>
      <c r="F153" s="6"/>
      <c r="G153" s="6"/>
      <c r="H153" s="10"/>
      <c r="I153" s="10"/>
      <c r="J153" s="10"/>
      <c r="K153" s="10"/>
      <c r="L153" s="10"/>
      <c r="M153" s="10"/>
      <c r="N153" s="74"/>
      <c r="O153" s="70"/>
      <c r="P153" s="70"/>
      <c r="Q153" s="70"/>
      <c r="R153" s="70"/>
      <c r="S153" s="70">
        <f t="shared" si="5"/>
        <v>149</v>
      </c>
      <c r="T153" s="70">
        <v>8.82</v>
      </c>
    </row>
    <row r="154" spans="1:20" ht="12.75">
      <c r="A154" s="6"/>
      <c r="B154" s="11"/>
      <c r="C154" s="6"/>
      <c r="D154" s="6"/>
      <c r="E154" s="6"/>
      <c r="F154" s="6"/>
      <c r="G154" s="6"/>
      <c r="H154" s="10"/>
      <c r="I154" s="10"/>
      <c r="J154" s="10"/>
      <c r="K154" s="10"/>
      <c r="L154" s="10"/>
      <c r="M154" s="10"/>
      <c r="N154" s="75"/>
      <c r="O154" s="70"/>
      <c r="P154" s="70"/>
      <c r="Q154" s="70"/>
      <c r="R154" s="70"/>
      <c r="S154" s="70">
        <f t="shared" si="5"/>
        <v>150</v>
      </c>
      <c r="T154" s="70">
        <v>8.78</v>
      </c>
    </row>
    <row r="155" spans="1:20" ht="12.75">
      <c r="A155" s="6"/>
      <c r="B155" s="11"/>
      <c r="C155" s="6"/>
      <c r="D155" s="6"/>
      <c r="E155" s="6"/>
      <c r="F155" s="6"/>
      <c r="G155" s="6"/>
      <c r="H155" s="10"/>
      <c r="I155" s="10"/>
      <c r="J155" s="10"/>
      <c r="K155" s="10"/>
      <c r="L155" s="10"/>
      <c r="M155" s="10"/>
      <c r="N155" s="75"/>
      <c r="O155" s="78"/>
      <c r="P155" s="70"/>
      <c r="Q155" s="70"/>
      <c r="R155" s="70"/>
      <c r="S155" s="70">
        <f t="shared" si="5"/>
        <v>151</v>
      </c>
      <c r="T155" s="70">
        <v>8.74</v>
      </c>
    </row>
    <row r="156" spans="1:20" ht="12.75">
      <c r="A156" s="6"/>
      <c r="B156" s="11"/>
      <c r="C156" s="6"/>
      <c r="D156" s="6"/>
      <c r="E156" s="6"/>
      <c r="F156" s="6"/>
      <c r="G156" s="6"/>
      <c r="H156" s="19">
        <f ca="1">TODAY()</f>
        <v>42933</v>
      </c>
      <c r="I156" s="10"/>
      <c r="J156" s="10"/>
      <c r="K156" s="10"/>
      <c r="L156" s="10"/>
      <c r="M156" s="10"/>
      <c r="N156" s="74"/>
      <c r="O156" s="70"/>
      <c r="P156" s="70"/>
      <c r="Q156" s="70"/>
      <c r="R156" s="70"/>
      <c r="S156" s="70">
        <f t="shared" si="5"/>
        <v>152</v>
      </c>
      <c r="T156" s="70">
        <v>8.69</v>
      </c>
    </row>
    <row r="157" spans="1:20" ht="12.75">
      <c r="A157" s="6"/>
      <c r="B157" s="11"/>
      <c r="C157" s="6"/>
      <c r="D157" s="6"/>
      <c r="E157" s="6"/>
      <c r="F157" s="6"/>
      <c r="G157" s="6"/>
      <c r="H157" s="10"/>
      <c r="I157" s="10"/>
      <c r="J157" s="10"/>
      <c r="K157" s="10"/>
      <c r="L157" s="10"/>
      <c r="M157" s="10"/>
      <c r="N157" s="74"/>
      <c r="O157" s="70"/>
      <c r="P157" s="70"/>
      <c r="Q157" s="70"/>
      <c r="R157" s="70"/>
      <c r="S157" s="70">
        <f t="shared" si="5"/>
        <v>153</v>
      </c>
      <c r="T157" s="70">
        <v>8.65</v>
      </c>
    </row>
    <row r="158" spans="1:20" ht="12.75">
      <c r="A158" s="6"/>
      <c r="B158" s="11"/>
      <c r="C158" s="6"/>
      <c r="D158" s="6"/>
      <c r="E158" s="6"/>
      <c r="F158" s="6"/>
      <c r="G158" s="6"/>
      <c r="H158" s="10"/>
      <c r="I158" s="10"/>
      <c r="J158" s="10"/>
      <c r="K158" s="10"/>
      <c r="L158" s="10"/>
      <c r="M158" s="10"/>
      <c r="N158" s="74"/>
      <c r="O158" s="70"/>
      <c r="P158" s="70"/>
      <c r="Q158" s="70"/>
      <c r="R158" s="70"/>
      <c r="S158" s="70">
        <f t="shared" si="5"/>
        <v>154</v>
      </c>
      <c r="T158" s="70">
        <v>8.61</v>
      </c>
    </row>
    <row r="159" spans="1:20" ht="12.75">
      <c r="A159" s="6"/>
      <c r="B159" s="11"/>
      <c r="C159" s="6"/>
      <c r="D159" s="6"/>
      <c r="E159" s="6"/>
      <c r="F159" s="6"/>
      <c r="G159" s="6"/>
      <c r="H159" s="31"/>
      <c r="I159" s="31"/>
      <c r="J159" s="31"/>
      <c r="K159" s="31"/>
      <c r="L159" s="31"/>
      <c r="M159" s="31"/>
      <c r="N159" s="74"/>
      <c r="O159" s="70"/>
      <c r="P159" s="70"/>
      <c r="Q159" s="70"/>
      <c r="R159" s="70"/>
      <c r="S159" s="70">
        <f t="shared" si="5"/>
        <v>155</v>
      </c>
      <c r="T159" s="70">
        <v>8.57</v>
      </c>
    </row>
    <row r="160" spans="1:20" ht="12.75">
      <c r="A160" s="6"/>
      <c r="B160" s="11"/>
      <c r="C160" s="6"/>
      <c r="D160" s="6"/>
      <c r="E160" s="6"/>
      <c r="F160" s="6"/>
      <c r="G160" s="6"/>
      <c r="H160" s="31"/>
      <c r="I160" s="31"/>
      <c r="J160" s="31"/>
      <c r="K160" s="31"/>
      <c r="L160" s="31"/>
      <c r="M160" s="31"/>
      <c r="N160" s="31"/>
      <c r="O160" s="70"/>
      <c r="P160" s="70"/>
      <c r="Q160" s="70"/>
      <c r="R160" s="70"/>
      <c r="S160" s="70">
        <f t="shared" si="5"/>
        <v>156</v>
      </c>
      <c r="T160" s="70">
        <v>8.53</v>
      </c>
    </row>
    <row r="161" spans="1:20" ht="12.75">
      <c r="A161" s="6"/>
      <c r="B161" s="11"/>
      <c r="C161" s="6"/>
      <c r="D161" s="6"/>
      <c r="E161" s="6"/>
      <c r="F161" s="6"/>
      <c r="G161" s="6"/>
      <c r="H161" s="31"/>
      <c r="I161" s="31"/>
      <c r="J161" s="31"/>
      <c r="K161" s="31"/>
      <c r="L161" s="31"/>
      <c r="M161" s="31"/>
      <c r="N161" s="75"/>
      <c r="O161" s="70"/>
      <c r="P161" s="70"/>
      <c r="Q161" s="70"/>
      <c r="R161" s="70"/>
      <c r="S161" s="70">
        <f t="shared" si="5"/>
        <v>157</v>
      </c>
      <c r="T161" s="70">
        <v>8.49</v>
      </c>
    </row>
    <row r="162" spans="1:20" ht="12.75">
      <c r="A162" s="6"/>
      <c r="B162" s="11"/>
      <c r="C162" s="6"/>
      <c r="D162" s="6"/>
      <c r="E162" s="6"/>
      <c r="F162" s="6"/>
      <c r="G162" s="6"/>
      <c r="H162" s="31"/>
      <c r="I162" s="31"/>
      <c r="J162" s="31"/>
      <c r="K162" s="31"/>
      <c r="L162" s="31"/>
      <c r="M162" s="31"/>
      <c r="N162" s="75"/>
      <c r="O162" s="70"/>
      <c r="P162" s="70"/>
      <c r="Q162" s="70"/>
      <c r="R162" s="70"/>
      <c r="S162" s="70">
        <f t="shared" si="5"/>
        <v>158</v>
      </c>
      <c r="T162" s="70">
        <v>8.45</v>
      </c>
    </row>
    <row r="163" spans="1:20" ht="12.75">
      <c r="A163" s="6"/>
      <c r="B163" s="11"/>
      <c r="C163" s="6"/>
      <c r="D163" s="6"/>
      <c r="E163" s="6"/>
      <c r="F163" s="6"/>
      <c r="G163" s="6"/>
      <c r="H163" s="31"/>
      <c r="I163" s="31"/>
      <c r="J163" s="31"/>
      <c r="K163" s="31"/>
      <c r="L163" s="31"/>
      <c r="M163" s="31"/>
      <c r="N163" s="76"/>
      <c r="O163" s="70"/>
      <c r="P163" s="70"/>
      <c r="Q163" s="70"/>
      <c r="R163" s="70"/>
      <c r="S163" s="70">
        <f t="shared" si="5"/>
        <v>159</v>
      </c>
      <c r="T163" s="70">
        <v>8.41</v>
      </c>
    </row>
    <row r="164" spans="1:20" ht="12.75">
      <c r="A164" s="6"/>
      <c r="B164" s="11"/>
      <c r="C164" s="6"/>
      <c r="D164" s="6"/>
      <c r="E164" s="6"/>
      <c r="F164" s="6"/>
      <c r="G164" s="6"/>
      <c r="H164" s="31"/>
      <c r="I164" s="31"/>
      <c r="J164" s="31"/>
      <c r="K164" s="31"/>
      <c r="L164" s="31"/>
      <c r="M164" s="31"/>
      <c r="N164" s="75"/>
      <c r="O164" s="70"/>
      <c r="P164" s="70"/>
      <c r="Q164" s="70"/>
      <c r="R164" s="70"/>
      <c r="S164" s="70">
        <f t="shared" si="5"/>
        <v>160</v>
      </c>
      <c r="T164" s="70">
        <v>8.37</v>
      </c>
    </row>
    <row r="165" spans="1:20" ht="12.75">
      <c r="A165" s="6"/>
      <c r="B165" s="11"/>
      <c r="C165" s="6"/>
      <c r="D165" s="6"/>
      <c r="E165" s="6"/>
      <c r="F165" s="6"/>
      <c r="G165" s="6"/>
      <c r="H165" s="31"/>
      <c r="I165" s="31"/>
      <c r="J165" s="31"/>
      <c r="K165" s="31"/>
      <c r="L165" s="31"/>
      <c r="M165" s="31"/>
      <c r="N165" s="75"/>
      <c r="O165" s="70"/>
      <c r="P165" s="70"/>
      <c r="Q165" s="70"/>
      <c r="R165" s="70"/>
      <c r="S165" s="70">
        <f t="shared" si="5"/>
        <v>161</v>
      </c>
      <c r="T165" s="70">
        <v>8.33</v>
      </c>
    </row>
    <row r="166" spans="1:20" ht="12.75">
      <c r="A166" s="6"/>
      <c r="B166" s="11"/>
      <c r="C166" s="6"/>
      <c r="D166" s="6"/>
      <c r="E166" s="6"/>
      <c r="F166" s="6"/>
      <c r="G166" s="6"/>
      <c r="H166" s="31"/>
      <c r="I166" s="31"/>
      <c r="J166" s="31"/>
      <c r="K166" s="31"/>
      <c r="L166" s="31"/>
      <c r="M166" s="31"/>
      <c r="N166" s="75"/>
      <c r="O166" s="70"/>
      <c r="P166" s="70"/>
      <c r="Q166" s="70"/>
      <c r="R166" s="70"/>
      <c r="S166" s="70">
        <f t="shared" si="5"/>
        <v>162</v>
      </c>
      <c r="T166" s="70">
        <v>8.29</v>
      </c>
    </row>
    <row r="167" spans="1:20" ht="12.75">
      <c r="A167" s="6"/>
      <c r="B167" s="11"/>
      <c r="C167" s="6"/>
      <c r="D167" s="6"/>
      <c r="E167" s="6"/>
      <c r="F167" s="6"/>
      <c r="G167" s="6"/>
      <c r="H167" s="31"/>
      <c r="I167" s="31"/>
      <c r="J167" s="31"/>
      <c r="K167" s="31"/>
      <c r="L167" s="31"/>
      <c r="M167" s="31"/>
      <c r="N167" s="77"/>
      <c r="O167" s="70"/>
      <c r="P167" s="70"/>
      <c r="Q167" s="70"/>
      <c r="R167" s="70"/>
      <c r="S167" s="70">
        <f t="shared" si="5"/>
        <v>163</v>
      </c>
      <c r="T167" s="70">
        <v>8.26</v>
      </c>
    </row>
    <row r="168" spans="1:20" ht="12.75">
      <c r="A168" s="6"/>
      <c r="B168" s="11"/>
      <c r="C168" s="6"/>
      <c r="D168" s="6"/>
      <c r="E168" s="6"/>
      <c r="F168" s="6"/>
      <c r="G168" s="6"/>
      <c r="H168" s="31"/>
      <c r="I168" s="31"/>
      <c r="J168" s="31"/>
      <c r="K168" s="31"/>
      <c r="L168" s="31"/>
      <c r="M168" s="31"/>
      <c r="N168" s="31"/>
      <c r="O168" s="70"/>
      <c r="P168" s="70"/>
      <c r="Q168" s="70"/>
      <c r="R168" s="70"/>
      <c r="S168" s="70">
        <f t="shared" si="5"/>
        <v>164</v>
      </c>
      <c r="T168" s="70">
        <v>8.22</v>
      </c>
    </row>
    <row r="169" spans="1:20" ht="12.75">
      <c r="A169" s="6"/>
      <c r="B169" s="11"/>
      <c r="C169" s="6"/>
      <c r="D169" s="6"/>
      <c r="E169" s="6"/>
      <c r="F169" s="6"/>
      <c r="G169" s="6"/>
      <c r="H169" s="31"/>
      <c r="I169" s="31"/>
      <c r="J169" s="31"/>
      <c r="K169" s="31"/>
      <c r="L169" s="31"/>
      <c r="M169" s="31"/>
      <c r="N169" s="75"/>
      <c r="O169" s="70"/>
      <c r="P169" s="70"/>
      <c r="Q169" s="70"/>
      <c r="R169" s="70"/>
      <c r="S169" s="70">
        <f t="shared" si="5"/>
        <v>165</v>
      </c>
      <c r="T169" s="70">
        <v>8.18</v>
      </c>
    </row>
    <row r="170" spans="1:20" ht="12.75">
      <c r="A170" s="6"/>
      <c r="B170" s="11"/>
      <c r="C170" s="6"/>
      <c r="D170" s="6"/>
      <c r="E170" s="6"/>
      <c r="F170" s="6"/>
      <c r="G170" s="6"/>
      <c r="H170" s="31"/>
      <c r="I170" s="31"/>
      <c r="J170" s="31"/>
      <c r="K170" s="31"/>
      <c r="L170" s="31"/>
      <c r="M170" s="31"/>
      <c r="N170" s="75"/>
      <c r="O170" s="70"/>
      <c r="P170" s="70"/>
      <c r="Q170" s="70"/>
      <c r="R170" s="70"/>
      <c r="S170" s="70">
        <f t="shared" si="5"/>
        <v>166</v>
      </c>
      <c r="T170" s="70">
        <v>8.15</v>
      </c>
    </row>
    <row r="171" spans="1:20" ht="12.75">
      <c r="A171" s="6"/>
      <c r="B171" s="11"/>
      <c r="C171" s="6"/>
      <c r="D171" s="6"/>
      <c r="E171" s="6"/>
      <c r="F171" s="6"/>
      <c r="G171" s="6"/>
      <c r="H171" s="31"/>
      <c r="I171" s="31"/>
      <c r="J171" s="31"/>
      <c r="K171" s="31"/>
      <c r="L171" s="31"/>
      <c r="M171" s="31"/>
      <c r="N171" s="75"/>
      <c r="O171" s="70"/>
      <c r="P171" s="70"/>
      <c r="Q171" s="70"/>
      <c r="R171" s="70"/>
      <c r="S171" s="70">
        <f t="shared" si="5"/>
        <v>167</v>
      </c>
      <c r="T171" s="70">
        <v>8.11</v>
      </c>
    </row>
    <row r="172" spans="1:20" ht="12.75">
      <c r="A172" s="6"/>
      <c r="B172" s="11"/>
      <c r="C172" s="6"/>
      <c r="D172" s="6"/>
      <c r="E172" s="6"/>
      <c r="F172" s="6"/>
      <c r="G172" s="6"/>
      <c r="H172" s="31"/>
      <c r="I172" s="31"/>
      <c r="J172" s="31"/>
      <c r="K172" s="31"/>
      <c r="L172" s="31"/>
      <c r="M172" s="31"/>
      <c r="N172" s="75"/>
      <c r="O172" s="78"/>
      <c r="P172" s="70"/>
      <c r="Q172" s="70"/>
      <c r="R172" s="70"/>
      <c r="S172" s="70">
        <f t="shared" si="5"/>
        <v>168</v>
      </c>
      <c r="T172" s="70">
        <v>8.08</v>
      </c>
    </row>
    <row r="173" spans="1:20" ht="12.75">
      <c r="A173" s="6"/>
      <c r="B173" s="11"/>
      <c r="C173" s="6"/>
      <c r="D173" s="6"/>
      <c r="E173" s="6"/>
      <c r="F173" s="6"/>
      <c r="G173" s="6"/>
      <c r="H173" s="31"/>
      <c r="I173" s="31"/>
      <c r="J173" s="31"/>
      <c r="K173" s="31"/>
      <c r="L173" s="31"/>
      <c r="M173" s="31"/>
      <c r="N173" s="31"/>
      <c r="O173" s="70"/>
      <c r="P173" s="70"/>
      <c r="Q173" s="70"/>
      <c r="R173" s="70"/>
      <c r="S173" s="70">
        <f t="shared" si="5"/>
        <v>169</v>
      </c>
      <c r="T173" s="70">
        <v>8.04</v>
      </c>
    </row>
    <row r="174" spans="1:20" ht="12.75">
      <c r="A174" s="6"/>
      <c r="B174" s="11"/>
      <c r="C174" s="6"/>
      <c r="D174" s="6"/>
      <c r="E174" s="6"/>
      <c r="F174" s="6"/>
      <c r="G174" s="6"/>
      <c r="H174" s="31"/>
      <c r="I174" s="31"/>
      <c r="J174" s="31"/>
      <c r="K174" s="31"/>
      <c r="L174" s="31"/>
      <c r="M174" s="31"/>
      <c r="N174" s="31"/>
      <c r="O174" s="70"/>
      <c r="P174" s="70"/>
      <c r="Q174" s="70"/>
      <c r="R174" s="70"/>
      <c r="S174" s="70">
        <f t="shared" si="5"/>
        <v>170</v>
      </c>
      <c r="T174" s="70">
        <v>8.01</v>
      </c>
    </row>
    <row r="175" spans="1:20" ht="12.75">
      <c r="A175" s="6"/>
      <c r="B175" s="11"/>
      <c r="C175" s="6"/>
      <c r="D175" s="6"/>
      <c r="E175" s="6"/>
      <c r="F175" s="6"/>
      <c r="G175" s="6"/>
      <c r="H175" s="31"/>
      <c r="I175" s="31"/>
      <c r="J175" s="31"/>
      <c r="K175" s="31"/>
      <c r="L175" s="31"/>
      <c r="M175" s="31"/>
      <c r="N175" s="31"/>
      <c r="O175" s="70"/>
      <c r="P175" s="70"/>
      <c r="Q175" s="70"/>
      <c r="R175" s="70"/>
      <c r="S175" s="70">
        <f t="shared" si="5"/>
        <v>171</v>
      </c>
      <c r="T175" s="70">
        <v>7.97</v>
      </c>
    </row>
    <row r="176" spans="1:20" ht="12.75">
      <c r="A176" s="6"/>
      <c r="B176" s="11"/>
      <c r="C176" s="6"/>
      <c r="D176" s="6"/>
      <c r="E176" s="6"/>
      <c r="F176" s="6"/>
      <c r="G176" s="6"/>
      <c r="H176" s="31"/>
      <c r="I176" s="31"/>
      <c r="J176" s="31"/>
      <c r="K176" s="31"/>
      <c r="L176" s="31"/>
      <c r="M176" s="31"/>
      <c r="N176" s="31"/>
      <c r="O176" s="70"/>
      <c r="P176" s="70"/>
      <c r="Q176" s="70"/>
      <c r="R176" s="70"/>
      <c r="S176" s="70">
        <f t="shared" si="5"/>
        <v>172</v>
      </c>
      <c r="T176" s="70">
        <v>7.94</v>
      </c>
    </row>
    <row r="177" spans="1:20" ht="12.75">
      <c r="A177" s="6"/>
      <c r="B177" s="11"/>
      <c r="C177" s="6"/>
      <c r="D177" s="6"/>
      <c r="E177" s="6"/>
      <c r="F177" s="6"/>
      <c r="G177" s="6"/>
      <c r="H177" s="31"/>
      <c r="I177" s="31"/>
      <c r="J177" s="31"/>
      <c r="K177" s="31"/>
      <c r="L177" s="31"/>
      <c r="M177" s="31"/>
      <c r="N177" s="31"/>
      <c r="O177" s="70"/>
      <c r="P177" s="70"/>
      <c r="Q177" s="70"/>
      <c r="R177" s="70"/>
      <c r="S177" s="70">
        <f t="shared" si="5"/>
        <v>173</v>
      </c>
      <c r="T177" s="70">
        <v>7.91</v>
      </c>
    </row>
    <row r="178" spans="1:20" ht="12.75">
      <c r="A178" s="6"/>
      <c r="B178" s="11"/>
      <c r="C178" s="6"/>
      <c r="D178" s="6"/>
      <c r="E178" s="6"/>
      <c r="F178" s="6"/>
      <c r="G178" s="6"/>
      <c r="H178" s="31"/>
      <c r="I178" s="31"/>
      <c r="J178" s="31"/>
      <c r="K178" s="31"/>
      <c r="L178" s="31"/>
      <c r="M178" s="31"/>
      <c r="N178" s="31"/>
      <c r="O178" s="70"/>
      <c r="P178" s="70"/>
      <c r="Q178" s="70"/>
      <c r="R178" s="70"/>
      <c r="S178" s="70">
        <f t="shared" si="5"/>
        <v>174</v>
      </c>
      <c r="T178" s="70">
        <v>7.88</v>
      </c>
    </row>
    <row r="179" spans="1:20" ht="12.75">
      <c r="A179" s="1"/>
      <c r="B179" s="5"/>
      <c r="C179" s="1"/>
      <c r="D179" s="1"/>
      <c r="E179" s="1"/>
      <c r="F179" s="1"/>
      <c r="G179" s="1"/>
      <c r="H179" s="31"/>
      <c r="I179" s="31"/>
      <c r="J179" s="31"/>
      <c r="K179" s="31"/>
      <c r="L179" s="31"/>
      <c r="M179" s="31"/>
      <c r="N179" s="70"/>
      <c r="O179" s="70"/>
      <c r="P179" s="70"/>
      <c r="Q179" s="70"/>
      <c r="R179" s="70"/>
      <c r="S179" s="70">
        <f t="shared" si="5"/>
        <v>175</v>
      </c>
      <c r="T179" s="70">
        <v>7.84</v>
      </c>
    </row>
    <row r="180" spans="1:20" ht="12.75">
      <c r="A180" s="1"/>
      <c r="B180" s="5"/>
      <c r="C180" s="1"/>
      <c r="D180" s="1"/>
      <c r="E180" s="1"/>
      <c r="F180" s="1"/>
      <c r="G180" s="1"/>
      <c r="H180" s="31"/>
      <c r="I180" s="31"/>
      <c r="J180" s="31"/>
      <c r="K180" s="31"/>
      <c r="L180" s="31"/>
      <c r="M180" s="31"/>
      <c r="N180" s="70"/>
      <c r="O180" s="70"/>
      <c r="P180" s="70"/>
      <c r="Q180" s="70"/>
      <c r="R180" s="70"/>
      <c r="S180" s="70">
        <f t="shared" si="5"/>
        <v>176</v>
      </c>
      <c r="T180" s="70">
        <v>7.81</v>
      </c>
    </row>
    <row r="181" spans="1:20" ht="12.75">
      <c r="A181" s="1"/>
      <c r="B181" s="5"/>
      <c r="C181" s="1"/>
      <c r="D181" s="1"/>
      <c r="E181" s="1"/>
      <c r="F181" s="1"/>
      <c r="G181" s="1"/>
      <c r="H181" s="31"/>
      <c r="I181" s="31"/>
      <c r="J181" s="31"/>
      <c r="K181" s="31"/>
      <c r="L181" s="31"/>
      <c r="M181" s="31"/>
      <c r="N181" s="70"/>
      <c r="O181" s="70"/>
      <c r="P181" s="70"/>
      <c r="Q181" s="70"/>
      <c r="R181" s="70"/>
      <c r="S181" s="70">
        <f t="shared" si="5"/>
        <v>177</v>
      </c>
      <c r="T181" s="70">
        <v>8.78</v>
      </c>
    </row>
    <row r="182" spans="1:20" ht="12.75">
      <c r="A182" s="1"/>
      <c r="B182" s="5"/>
      <c r="C182" s="1"/>
      <c r="D182" s="1"/>
      <c r="E182" s="1"/>
      <c r="F182" s="1"/>
      <c r="G182" s="1"/>
      <c r="H182" s="31"/>
      <c r="I182" s="31"/>
      <c r="J182" s="31"/>
      <c r="K182" s="31"/>
      <c r="L182" s="31"/>
      <c r="M182" s="31"/>
      <c r="N182" s="70"/>
      <c r="O182" s="70"/>
      <c r="P182" s="70"/>
      <c r="Q182" s="70"/>
      <c r="R182" s="70"/>
      <c r="S182" s="70">
        <f t="shared" si="5"/>
        <v>178</v>
      </c>
      <c r="T182" s="70">
        <v>7.75</v>
      </c>
    </row>
    <row r="183" spans="1:20" ht="12.75">
      <c r="A183" s="1"/>
      <c r="B183" s="5"/>
      <c r="C183" s="1"/>
      <c r="D183" s="1"/>
      <c r="E183" s="1"/>
      <c r="F183" s="1"/>
      <c r="G183" s="1"/>
      <c r="H183" s="31"/>
      <c r="I183" s="31"/>
      <c r="J183" s="31"/>
      <c r="K183" s="31"/>
      <c r="L183" s="31"/>
      <c r="M183" s="31"/>
      <c r="N183" s="70"/>
      <c r="O183" s="70"/>
      <c r="P183" s="70"/>
      <c r="Q183" s="70"/>
      <c r="R183" s="70"/>
      <c r="S183" s="70">
        <f t="shared" si="5"/>
        <v>179</v>
      </c>
      <c r="T183" s="70">
        <v>7.72</v>
      </c>
    </row>
    <row r="184" spans="1:20" ht="12.75">
      <c r="A184" s="1"/>
      <c r="B184" s="5"/>
      <c r="C184" s="1"/>
      <c r="D184" s="1"/>
      <c r="E184" s="1"/>
      <c r="F184" s="1"/>
      <c r="G184" s="1"/>
      <c r="H184" s="31"/>
      <c r="I184" s="31"/>
      <c r="J184" s="31"/>
      <c r="K184" s="31"/>
      <c r="L184" s="31"/>
      <c r="M184" s="31"/>
      <c r="N184" s="70"/>
      <c r="O184" s="70"/>
      <c r="P184" s="70"/>
      <c r="Q184" s="70"/>
      <c r="R184" s="70"/>
      <c r="S184" s="70">
        <f t="shared" si="5"/>
        <v>180</v>
      </c>
      <c r="T184" s="70">
        <v>7.69</v>
      </c>
    </row>
    <row r="185" spans="1:20" ht="12.75">
      <c r="A185" s="1"/>
      <c r="B185" s="5"/>
      <c r="C185" s="1"/>
      <c r="D185" s="1"/>
      <c r="E185" s="1"/>
      <c r="F185" s="1"/>
      <c r="G185" s="1"/>
      <c r="H185" s="31"/>
      <c r="I185" s="31"/>
      <c r="J185" s="31"/>
      <c r="K185" s="31"/>
      <c r="L185" s="31"/>
      <c r="M185" s="31"/>
      <c r="N185" s="70"/>
      <c r="O185" s="70"/>
      <c r="P185" s="70"/>
      <c r="Q185" s="70"/>
      <c r="R185" s="70"/>
      <c r="S185" s="70"/>
      <c r="T185" s="70"/>
    </row>
    <row r="186" spans="1:13" ht="12.75">
      <c r="A186" s="1"/>
      <c r="B186" s="5"/>
      <c r="C186" s="1"/>
      <c r="D186" s="1"/>
      <c r="E186" s="1"/>
      <c r="F186" s="1"/>
      <c r="G186" s="1"/>
      <c r="H186" s="10"/>
      <c r="I186" s="10"/>
      <c r="J186" s="10"/>
      <c r="K186" s="10"/>
      <c r="L186" s="10"/>
      <c r="M186" s="10"/>
    </row>
    <row r="187" spans="1:13" ht="12.75">
      <c r="A187" s="1"/>
      <c r="B187" s="5"/>
      <c r="C187" s="1"/>
      <c r="D187" s="1"/>
      <c r="E187" s="1"/>
      <c r="F187" s="1"/>
      <c r="G187" s="1"/>
      <c r="H187" s="10"/>
      <c r="I187" s="10"/>
      <c r="J187" s="10"/>
      <c r="K187" s="10"/>
      <c r="L187" s="10"/>
      <c r="M187" s="10"/>
    </row>
    <row r="188" spans="1:13" ht="12.75">
      <c r="A188" s="1"/>
      <c r="B188" s="5"/>
      <c r="C188" s="1"/>
      <c r="D188" s="1"/>
      <c r="E188" s="1"/>
      <c r="F188" s="1"/>
      <c r="G188" s="1"/>
      <c r="H188" s="10"/>
      <c r="I188" s="10"/>
      <c r="J188" s="10"/>
      <c r="K188" s="10"/>
      <c r="L188" s="10"/>
      <c r="M188" s="10"/>
    </row>
    <row r="189" spans="1:13" ht="12.75">
      <c r="A189" s="1"/>
      <c r="B189" s="5"/>
      <c r="C189" s="1"/>
      <c r="D189" s="1"/>
      <c r="E189" s="1"/>
      <c r="F189" s="1"/>
      <c r="G189" s="1"/>
      <c r="H189" s="10"/>
      <c r="I189" s="10"/>
      <c r="J189" s="10"/>
      <c r="K189" s="10"/>
      <c r="L189" s="10"/>
      <c r="M189" s="10"/>
    </row>
    <row r="190" spans="1:13" ht="12.75">
      <c r="A190" s="1"/>
      <c r="B190" s="5"/>
      <c r="C190" s="1"/>
      <c r="D190" s="1"/>
      <c r="E190" s="1"/>
      <c r="F190" s="1"/>
      <c r="G190" s="1"/>
      <c r="H190" s="10"/>
      <c r="I190" s="10"/>
      <c r="J190" s="10"/>
      <c r="K190" s="10"/>
      <c r="L190" s="10"/>
      <c r="M190" s="10"/>
    </row>
    <row r="191" spans="1:13" ht="12.75">
      <c r="A191" s="1"/>
      <c r="B191" s="5"/>
      <c r="C191" s="1"/>
      <c r="D191" s="1"/>
      <c r="E191" s="1"/>
      <c r="F191" s="1"/>
      <c r="G191" s="1"/>
      <c r="H191" s="10"/>
      <c r="I191" s="10"/>
      <c r="J191" s="10"/>
      <c r="K191" s="10"/>
      <c r="L191" s="10"/>
      <c r="M191" s="10"/>
    </row>
    <row r="192" spans="1:7" ht="12.75">
      <c r="A192" s="1"/>
      <c r="B192" s="5"/>
      <c r="C192" s="1"/>
      <c r="D192" s="1"/>
      <c r="E192" s="1"/>
      <c r="F192" s="1"/>
      <c r="G192" s="1"/>
    </row>
    <row r="193" spans="1:7" ht="12.75">
      <c r="A193" s="1"/>
      <c r="B193" s="5"/>
      <c r="C193" s="1"/>
      <c r="D193" s="1"/>
      <c r="E193" s="1"/>
      <c r="F193" s="1"/>
      <c r="G193" s="1"/>
    </row>
    <row r="194" spans="1:7" ht="12.75">
      <c r="A194" s="1"/>
      <c r="B194" s="5"/>
      <c r="C194" s="1"/>
      <c r="D194" s="1"/>
      <c r="E194" s="1"/>
      <c r="F194" s="1"/>
      <c r="G194" s="1"/>
    </row>
    <row r="195" spans="1:7" ht="12.75">
      <c r="A195" s="1"/>
      <c r="B195" s="5"/>
      <c r="C195" s="1"/>
      <c r="D195" s="1"/>
      <c r="E195" s="1"/>
      <c r="F195" s="1"/>
      <c r="G195" s="1"/>
    </row>
    <row r="196" spans="1:7" ht="12.75">
      <c r="A196" s="1"/>
      <c r="B196" s="5"/>
      <c r="C196" s="1"/>
      <c r="D196" s="1"/>
      <c r="E196" s="1"/>
      <c r="F196" s="1"/>
      <c r="G196" s="1"/>
    </row>
    <row r="197" spans="1:7" ht="12.75">
      <c r="A197" s="1"/>
      <c r="B197" s="5"/>
      <c r="C197" s="1"/>
      <c r="D197" s="1"/>
      <c r="E197" s="1"/>
      <c r="F197" s="1"/>
      <c r="G197" s="1"/>
    </row>
    <row r="198" spans="1:7" ht="12.75">
      <c r="A198" s="1"/>
      <c r="B198" s="5"/>
      <c r="C198" s="1"/>
      <c r="D198" s="1"/>
      <c r="E198" s="1"/>
      <c r="F198" s="1"/>
      <c r="G198" s="1"/>
    </row>
    <row r="199" spans="1:7" ht="12.75">
      <c r="A199" s="1"/>
      <c r="B199" s="5"/>
      <c r="C199" s="1"/>
      <c r="D199" s="1"/>
      <c r="E199" s="1"/>
      <c r="F199" s="1"/>
      <c r="G199" s="1"/>
    </row>
    <row r="200" spans="1:7" ht="12.75">
      <c r="A200" s="1"/>
      <c r="B200" s="5"/>
      <c r="C200" s="1"/>
      <c r="D200" s="1"/>
      <c r="E200" s="1"/>
      <c r="F200" s="1"/>
      <c r="G200" s="1"/>
    </row>
    <row r="201" spans="1:7" ht="12.75">
      <c r="A201" s="1"/>
      <c r="B201" s="5"/>
      <c r="C201" s="1"/>
      <c r="D201" s="1"/>
      <c r="E201" s="1"/>
      <c r="F201" s="1"/>
      <c r="G201" s="1"/>
    </row>
    <row r="202" spans="1:7" ht="12.75">
      <c r="A202" s="1"/>
      <c r="B202" s="5"/>
      <c r="C202" s="1"/>
      <c r="D202" s="1"/>
      <c r="E202" s="1"/>
      <c r="F202" s="1"/>
      <c r="G202" s="1"/>
    </row>
    <row r="203" spans="1:7" ht="12.75">
      <c r="A203" s="1"/>
      <c r="B203" s="5"/>
      <c r="C203" s="1"/>
      <c r="D203" s="1"/>
      <c r="E203" s="1"/>
      <c r="F203" s="1"/>
      <c r="G203" s="1"/>
    </row>
    <row r="204" spans="1:7" ht="12.75">
      <c r="A204" s="1"/>
      <c r="B204" s="5"/>
      <c r="C204" s="1"/>
      <c r="D204" s="1"/>
      <c r="E204" s="1"/>
      <c r="F204" s="1"/>
      <c r="G204" s="1"/>
    </row>
    <row r="205" spans="1:7" ht="12.75">
      <c r="A205" s="1"/>
      <c r="B205" s="5"/>
      <c r="C205" s="1"/>
      <c r="D205" s="1"/>
      <c r="E205" s="1"/>
      <c r="F205" s="1"/>
      <c r="G205" s="1"/>
    </row>
    <row r="206" spans="1:7" ht="12.75">
      <c r="A206" s="1"/>
      <c r="B206" s="5"/>
      <c r="C206" s="1"/>
      <c r="D206" s="1"/>
      <c r="E206" s="1"/>
      <c r="F206" s="1"/>
      <c r="G206" s="1"/>
    </row>
    <row r="207" spans="1:7" ht="12.75">
      <c r="A207" s="1"/>
      <c r="B207" s="5"/>
      <c r="C207" s="1"/>
      <c r="D207" s="1"/>
      <c r="E207" s="1"/>
      <c r="F207" s="1"/>
      <c r="G207" s="1"/>
    </row>
    <row r="208" spans="1:7" ht="12.75">
      <c r="A208" s="1"/>
      <c r="B208" s="5"/>
      <c r="C208" s="1"/>
      <c r="D208" s="1"/>
      <c r="E208" s="1"/>
      <c r="F208" s="1"/>
      <c r="G208" s="1"/>
    </row>
    <row r="209" spans="1:7" ht="12.75">
      <c r="A209" s="1"/>
      <c r="B209" s="5"/>
      <c r="C209" s="1"/>
      <c r="D209" s="1"/>
      <c r="E209" s="1"/>
      <c r="F209" s="1"/>
      <c r="G209" s="1"/>
    </row>
    <row r="210" spans="1:7" ht="12.75">
      <c r="A210" s="1"/>
      <c r="B210" s="5"/>
      <c r="C210" s="1"/>
      <c r="D210" s="1"/>
      <c r="E210" s="1"/>
      <c r="F210" s="1"/>
      <c r="G210" s="1"/>
    </row>
    <row r="211" spans="1:7" ht="12.75">
      <c r="A211" s="1"/>
      <c r="B211" s="5"/>
      <c r="C211" s="1"/>
      <c r="D211" s="1"/>
      <c r="E211" s="1"/>
      <c r="F211" s="1"/>
      <c r="G211" s="1"/>
    </row>
    <row r="212" spans="1:7" ht="12.75">
      <c r="A212" s="1"/>
      <c r="B212" s="5"/>
      <c r="C212" s="1"/>
      <c r="D212" s="1"/>
      <c r="E212" s="1"/>
      <c r="F212" s="1"/>
      <c r="G212" s="1"/>
    </row>
    <row r="213" spans="1:7" ht="12.75">
      <c r="A213" s="1"/>
      <c r="B213" s="5"/>
      <c r="C213" s="1"/>
      <c r="D213" s="1"/>
      <c r="E213" s="1"/>
      <c r="F213" s="1"/>
      <c r="G213" s="1"/>
    </row>
    <row r="214" spans="1:7" ht="12.75">
      <c r="A214" s="1"/>
      <c r="B214" s="5"/>
      <c r="C214" s="1"/>
      <c r="D214" s="1"/>
      <c r="E214" s="1"/>
      <c r="F214" s="1"/>
      <c r="G214" s="1"/>
    </row>
    <row r="215" spans="1:7" ht="12.75">
      <c r="A215" s="1"/>
      <c r="B215" s="5"/>
      <c r="C215" s="1"/>
      <c r="D215" s="1"/>
      <c r="E215" s="1"/>
      <c r="F215" s="1"/>
      <c r="G215" s="1"/>
    </row>
    <row r="216" spans="1:7" ht="12.75">
      <c r="A216" s="1"/>
      <c r="B216" s="5"/>
      <c r="C216" s="1"/>
      <c r="D216" s="1"/>
      <c r="E216" s="1"/>
      <c r="F216" s="1"/>
      <c r="G216" s="1"/>
    </row>
    <row r="217" spans="1:7" ht="12.75">
      <c r="A217" s="1"/>
      <c r="B217" s="5"/>
      <c r="C217" s="1"/>
      <c r="D217" s="1"/>
      <c r="E217" s="1"/>
      <c r="F217" s="1"/>
      <c r="G217" s="1"/>
    </row>
    <row r="218" spans="1:7" ht="12.75">
      <c r="A218" s="1"/>
      <c r="B218" s="5"/>
      <c r="C218" s="1"/>
      <c r="D218" s="1"/>
      <c r="E218" s="1"/>
      <c r="F218" s="1"/>
      <c r="G218" s="1"/>
    </row>
    <row r="219" spans="1:7" ht="12.75">
      <c r="A219" s="1"/>
      <c r="B219" s="5"/>
      <c r="C219" s="1"/>
      <c r="D219" s="1"/>
      <c r="E219" s="1"/>
      <c r="F219" s="1"/>
      <c r="G219" s="1"/>
    </row>
    <row r="220" spans="1:7" ht="12.75">
      <c r="A220" s="1"/>
      <c r="B220" s="5"/>
      <c r="C220" s="1"/>
      <c r="D220" s="1"/>
      <c r="E220" s="1"/>
      <c r="F220" s="1"/>
      <c r="G220" s="1"/>
    </row>
    <row r="221" spans="1:7" ht="12.75">
      <c r="A221" s="1"/>
      <c r="B221" s="5"/>
      <c r="C221" s="1"/>
      <c r="D221" s="1"/>
      <c r="E221" s="1"/>
      <c r="F221" s="1"/>
      <c r="G221" s="1"/>
    </row>
    <row r="222" spans="1:7" ht="12.75">
      <c r="A222" s="1"/>
      <c r="B222" s="5"/>
      <c r="C222" s="1"/>
      <c r="D222" s="1"/>
      <c r="E222" s="1"/>
      <c r="F222" s="1"/>
      <c r="G222" s="1"/>
    </row>
    <row r="223" spans="1:7" ht="12.75">
      <c r="A223" s="1"/>
      <c r="B223" s="5"/>
      <c r="C223" s="1"/>
      <c r="D223" s="1"/>
      <c r="E223" s="1"/>
      <c r="F223" s="1"/>
      <c r="G223" s="1"/>
    </row>
    <row r="224" spans="1:7" ht="12.75">
      <c r="A224" s="1"/>
      <c r="B224" s="5"/>
      <c r="C224" s="1"/>
      <c r="D224" s="1"/>
      <c r="E224" s="1"/>
      <c r="F224" s="1"/>
      <c r="G224" s="1"/>
    </row>
    <row r="225" spans="1:7" ht="12.75">
      <c r="A225" s="1"/>
      <c r="B225" s="5"/>
      <c r="C225" s="1"/>
      <c r="D225" s="1"/>
      <c r="E225" s="1"/>
      <c r="F225" s="1"/>
      <c r="G225" s="1"/>
    </row>
    <row r="226" spans="1:7" ht="12.75">
      <c r="A226" s="1"/>
      <c r="B226" s="5"/>
      <c r="C226" s="1"/>
      <c r="D226" s="1"/>
      <c r="E226" s="1"/>
      <c r="F226" s="1"/>
      <c r="G226" s="1"/>
    </row>
    <row r="227" spans="1:7" ht="12.75">
      <c r="A227" s="1"/>
      <c r="B227" s="5"/>
      <c r="C227" s="1"/>
      <c r="D227" s="1"/>
      <c r="E227" s="1"/>
      <c r="F227" s="1"/>
      <c r="G227" s="1"/>
    </row>
    <row r="228" spans="1:7" ht="12.75">
      <c r="A228" s="1"/>
      <c r="B228" s="5"/>
      <c r="C228" s="1"/>
      <c r="D228" s="1"/>
      <c r="E228" s="1"/>
      <c r="F228" s="1"/>
      <c r="G228" s="1"/>
    </row>
    <row r="229" spans="1:7" ht="12.75">
      <c r="A229" s="1"/>
      <c r="B229" s="5"/>
      <c r="C229" s="1"/>
      <c r="D229" s="1"/>
      <c r="E229" s="1"/>
      <c r="F229" s="1"/>
      <c r="G229" s="1"/>
    </row>
    <row r="230" spans="1:7" ht="12.75">
      <c r="A230" s="1"/>
      <c r="B230" s="5"/>
      <c r="C230" s="1"/>
      <c r="D230" s="1"/>
      <c r="E230" s="1"/>
      <c r="F230" s="1"/>
      <c r="G230" s="1"/>
    </row>
    <row r="231" spans="1:7" ht="12.75">
      <c r="A231" s="1"/>
      <c r="B231" s="5"/>
      <c r="C231" s="1"/>
      <c r="D231" s="1"/>
      <c r="E231" s="1"/>
      <c r="F231" s="1"/>
      <c r="G231" s="1"/>
    </row>
    <row r="232" spans="1:7" ht="12.75">
      <c r="A232" s="1"/>
      <c r="B232" s="5"/>
      <c r="C232" s="1"/>
      <c r="D232" s="1"/>
      <c r="E232" s="1"/>
      <c r="F232" s="1"/>
      <c r="G232" s="1"/>
    </row>
    <row r="233" spans="1:7" ht="12.75">
      <c r="A233" s="1"/>
      <c r="B233" s="5"/>
      <c r="C233" s="1"/>
      <c r="D233" s="1"/>
      <c r="E233" s="1"/>
      <c r="F233" s="1"/>
      <c r="G233" s="1"/>
    </row>
    <row r="234" spans="1:7" ht="12.75">
      <c r="A234" s="1"/>
      <c r="B234" s="5"/>
      <c r="C234" s="1"/>
      <c r="D234" s="1"/>
      <c r="E234" s="1"/>
      <c r="F234" s="1"/>
      <c r="G234" s="1"/>
    </row>
    <row r="235" spans="1:7" ht="12.75">
      <c r="A235" s="1"/>
      <c r="B235" s="5"/>
      <c r="C235" s="1"/>
      <c r="D235" s="1"/>
      <c r="E235" s="1"/>
      <c r="F235" s="1"/>
      <c r="G235" s="1"/>
    </row>
    <row r="236" spans="1:7" ht="12.75">
      <c r="A236" s="1"/>
      <c r="B236" s="5"/>
      <c r="C236" s="1"/>
      <c r="D236" s="1"/>
      <c r="E236" s="1"/>
      <c r="F236" s="1"/>
      <c r="G236" s="1"/>
    </row>
    <row r="237" spans="1:7" ht="12.75">
      <c r="A237" s="1"/>
      <c r="B237" s="5"/>
      <c r="C237" s="1"/>
      <c r="D237" s="1"/>
      <c r="E237" s="1"/>
      <c r="F237" s="1"/>
      <c r="G237" s="1"/>
    </row>
    <row r="238" spans="1:7" ht="12.75">
      <c r="A238" s="1"/>
      <c r="B238" s="5"/>
      <c r="C238" s="1"/>
      <c r="D238" s="1"/>
      <c r="E238" s="1"/>
      <c r="F238" s="1"/>
      <c r="G238" s="1"/>
    </row>
    <row r="239" spans="1:7" ht="12.75">
      <c r="A239" s="1"/>
      <c r="B239" s="5"/>
      <c r="C239" s="1"/>
      <c r="D239" s="1"/>
      <c r="E239" s="1"/>
      <c r="F239" s="1"/>
      <c r="G239" s="1"/>
    </row>
    <row r="240" spans="1:7" ht="12.75">
      <c r="A240" s="1"/>
      <c r="B240" s="5"/>
      <c r="C240" s="1"/>
      <c r="D240" s="1"/>
      <c r="E240" s="1"/>
      <c r="F240" s="1"/>
      <c r="G240" s="1"/>
    </row>
    <row r="241" spans="1:7" ht="12.75">
      <c r="A241" s="1"/>
      <c r="B241" s="5"/>
      <c r="C241" s="1"/>
      <c r="D241" s="1"/>
      <c r="E241" s="1"/>
      <c r="F241" s="1"/>
      <c r="G241" s="1"/>
    </row>
    <row r="242" spans="1:7" ht="12.75">
      <c r="A242" s="1"/>
      <c r="B242" s="5"/>
      <c r="C242" s="1"/>
      <c r="D242" s="1"/>
      <c r="E242" s="1"/>
      <c r="F242" s="1"/>
      <c r="G242" s="1"/>
    </row>
    <row r="243" spans="1:7" ht="12.75">
      <c r="A243" s="1"/>
      <c r="B243" s="5"/>
      <c r="C243" s="1"/>
      <c r="D243" s="1"/>
      <c r="E243" s="1"/>
      <c r="F243" s="1"/>
      <c r="G243" s="1"/>
    </row>
    <row r="244" spans="1:7" ht="12.75">
      <c r="A244" s="1"/>
      <c r="B244" s="5"/>
      <c r="C244" s="1"/>
      <c r="D244" s="1"/>
      <c r="E244" s="1"/>
      <c r="F244" s="1"/>
      <c r="G244" s="1"/>
    </row>
    <row r="245" spans="1:7" ht="12.75">
      <c r="A245" s="1"/>
      <c r="B245" s="5"/>
      <c r="C245" s="1"/>
      <c r="D245" s="1"/>
      <c r="E245" s="1"/>
      <c r="F245" s="1"/>
      <c r="G245" s="1"/>
    </row>
    <row r="246" spans="1:7" ht="12.75">
      <c r="A246" s="1"/>
      <c r="B246" s="5"/>
      <c r="C246" s="1"/>
      <c r="D246" s="1"/>
      <c r="E246" s="1"/>
      <c r="F246" s="1"/>
      <c r="G246" s="1"/>
    </row>
    <row r="247" spans="1:7" ht="12.75">
      <c r="A247" s="1"/>
      <c r="B247" s="5"/>
      <c r="C247" s="1"/>
      <c r="D247" s="1"/>
      <c r="E247" s="1"/>
      <c r="F247" s="1"/>
      <c r="G247" s="1"/>
    </row>
    <row r="248" spans="1:7" ht="12.75">
      <c r="A248" s="1"/>
      <c r="B248" s="5"/>
      <c r="C248" s="1"/>
      <c r="D248" s="1"/>
      <c r="E248" s="1"/>
      <c r="F248" s="1"/>
      <c r="G248" s="1"/>
    </row>
    <row r="249" spans="1:7" ht="12.75">
      <c r="A249" s="1"/>
      <c r="B249" s="5"/>
      <c r="C249" s="1"/>
      <c r="D249" s="1"/>
      <c r="E249" s="1"/>
      <c r="F249" s="1"/>
      <c r="G249" s="1"/>
    </row>
    <row r="250" spans="1:7" ht="12.75">
      <c r="A250" s="1"/>
      <c r="B250" s="5"/>
      <c r="C250" s="1"/>
      <c r="D250" s="1"/>
      <c r="E250" s="1"/>
      <c r="F250" s="1"/>
      <c r="G250" s="1"/>
    </row>
    <row r="251" spans="1:7" ht="12.75">
      <c r="A251" s="1"/>
      <c r="B251" s="5"/>
      <c r="C251" s="1"/>
      <c r="D251" s="1"/>
      <c r="E251" s="1"/>
      <c r="F251" s="1"/>
      <c r="G251" s="1"/>
    </row>
    <row r="252" spans="1:7" ht="12.75">
      <c r="A252" s="1"/>
      <c r="B252" s="5"/>
      <c r="C252" s="1"/>
      <c r="D252" s="1"/>
      <c r="E252" s="1"/>
      <c r="F252" s="1"/>
      <c r="G252" s="1"/>
    </row>
    <row r="253" spans="1:7" ht="12.75">
      <c r="A253" s="1"/>
      <c r="B253" s="5"/>
      <c r="C253" s="1"/>
      <c r="D253" s="1"/>
      <c r="E253" s="1"/>
      <c r="F253" s="1"/>
      <c r="G253" s="1"/>
    </row>
    <row r="254" spans="1:7" ht="12.75">
      <c r="A254" s="1"/>
      <c r="B254" s="5"/>
      <c r="C254" s="1"/>
      <c r="D254" s="1"/>
      <c r="E254" s="1"/>
      <c r="F254" s="1"/>
      <c r="G254" s="1"/>
    </row>
    <row r="255" spans="1:7" ht="12.75">
      <c r="A255" s="1"/>
      <c r="B255" s="5"/>
      <c r="C255" s="1"/>
      <c r="D255" s="1"/>
      <c r="E255" s="1"/>
      <c r="F255" s="1"/>
      <c r="G255" s="1"/>
    </row>
    <row r="256" spans="1:7" ht="12.75">
      <c r="A256" s="1"/>
      <c r="B256" s="5"/>
      <c r="C256" s="1"/>
      <c r="D256" s="1"/>
      <c r="E256" s="1"/>
      <c r="F256" s="1"/>
      <c r="G256" s="1"/>
    </row>
    <row r="257" spans="1:7" ht="12.75">
      <c r="A257" s="1"/>
      <c r="B257" s="5"/>
      <c r="C257" s="1"/>
      <c r="D257" s="1"/>
      <c r="E257" s="1"/>
      <c r="F257" s="1"/>
      <c r="G257" s="1"/>
    </row>
    <row r="258" spans="1:7" ht="12.75">
      <c r="A258" s="1"/>
      <c r="B258" s="5"/>
      <c r="C258" s="1"/>
      <c r="D258" s="1"/>
      <c r="E258" s="1"/>
      <c r="F258" s="1"/>
      <c r="G258" s="1"/>
    </row>
    <row r="259" spans="1:7" ht="12.75">
      <c r="A259" s="1"/>
      <c r="B259" s="5"/>
      <c r="C259" s="1"/>
      <c r="D259" s="1"/>
      <c r="E259" s="1"/>
      <c r="F259" s="1"/>
      <c r="G259" s="1"/>
    </row>
    <row r="260" spans="1:7" ht="12.75">
      <c r="A260" s="1"/>
      <c r="B260" s="5"/>
      <c r="C260" s="1"/>
      <c r="D260" s="1"/>
      <c r="E260" s="1"/>
      <c r="F260" s="1"/>
      <c r="G260" s="1"/>
    </row>
    <row r="261" spans="1:7" ht="12.75">
      <c r="A261" s="1"/>
      <c r="B261" s="5"/>
      <c r="C261" s="1"/>
      <c r="D261" s="1"/>
      <c r="E261" s="1"/>
      <c r="F261" s="1"/>
      <c r="G261" s="1"/>
    </row>
    <row r="262" spans="1:7" ht="12.75">
      <c r="A262" s="1"/>
      <c r="B262" s="5"/>
      <c r="C262" s="1"/>
      <c r="D262" s="1"/>
      <c r="E262" s="1"/>
      <c r="F262" s="1"/>
      <c r="G262" s="1"/>
    </row>
    <row r="263" spans="1:7" ht="12.75">
      <c r="A263" s="1"/>
      <c r="B263" s="5"/>
      <c r="C263" s="1"/>
      <c r="D263" s="1"/>
      <c r="E263" s="1"/>
      <c r="F263" s="1"/>
      <c r="G263" s="1"/>
    </row>
    <row r="264" spans="1:7" ht="12.75">
      <c r="A264" s="1"/>
      <c r="B264" s="5"/>
      <c r="C264" s="1"/>
      <c r="D264" s="1"/>
      <c r="E264" s="1"/>
      <c r="F264" s="1"/>
      <c r="G264" s="1"/>
    </row>
    <row r="265" spans="1:7" ht="12.75">
      <c r="A265" s="1"/>
      <c r="B265" s="5"/>
      <c r="C265" s="1"/>
      <c r="D265" s="1"/>
      <c r="E265" s="1"/>
      <c r="F265" s="1"/>
      <c r="G265" s="1"/>
    </row>
    <row r="266" spans="1:7" ht="12.75">
      <c r="A266" s="1"/>
      <c r="B266" s="5"/>
      <c r="C266" s="1"/>
      <c r="D266" s="1"/>
      <c r="E266" s="1"/>
      <c r="F266" s="1"/>
      <c r="G266" s="1"/>
    </row>
    <row r="267" spans="1:7" ht="12.75">
      <c r="A267" s="1"/>
      <c r="B267" s="5"/>
      <c r="C267" s="1"/>
      <c r="D267" s="1"/>
      <c r="E267" s="1"/>
      <c r="F267" s="1"/>
      <c r="G267" s="1"/>
    </row>
    <row r="268" spans="1:7" ht="12.75">
      <c r="A268" s="1"/>
      <c r="B268" s="5"/>
      <c r="C268" s="1"/>
      <c r="D268" s="1"/>
      <c r="E268" s="1"/>
      <c r="F268" s="1"/>
      <c r="G268" s="1"/>
    </row>
    <row r="269" spans="1:7" ht="12.75">
      <c r="A269" s="1"/>
      <c r="B269" s="5"/>
      <c r="C269" s="1"/>
      <c r="D269" s="1"/>
      <c r="E269" s="1"/>
      <c r="F269" s="1"/>
      <c r="G269" s="1"/>
    </row>
    <row r="270" spans="1:7" ht="12.75">
      <c r="A270" s="1"/>
      <c r="B270" s="5"/>
      <c r="C270" s="1"/>
      <c r="D270" s="1"/>
      <c r="E270" s="1"/>
      <c r="F270" s="1"/>
      <c r="G270" s="1"/>
    </row>
    <row r="271" spans="1:7" ht="12.75">
      <c r="A271" s="1"/>
      <c r="B271" s="5"/>
      <c r="C271" s="1"/>
      <c r="D271" s="1"/>
      <c r="E271" s="1"/>
      <c r="F271" s="1"/>
      <c r="G271" s="1"/>
    </row>
    <row r="272" spans="1:7" ht="12.75">
      <c r="A272" s="1"/>
      <c r="B272" s="5"/>
      <c r="C272" s="1"/>
      <c r="D272" s="1"/>
      <c r="E272" s="1"/>
      <c r="F272" s="1"/>
      <c r="G272" s="1"/>
    </row>
    <row r="273" spans="1:7" ht="12.75">
      <c r="A273" s="1"/>
      <c r="B273" s="5"/>
      <c r="C273" s="1"/>
      <c r="D273" s="1"/>
      <c r="E273" s="1"/>
      <c r="F273" s="1"/>
      <c r="G273" s="1"/>
    </row>
    <row r="274" spans="1:7" ht="12.75">
      <c r="A274" s="1"/>
      <c r="B274" s="5"/>
      <c r="C274" s="1"/>
      <c r="D274" s="1"/>
      <c r="E274" s="1"/>
      <c r="F274" s="1"/>
      <c r="G274" s="1"/>
    </row>
    <row r="275" spans="1:7" ht="12.75">
      <c r="A275" s="1"/>
      <c r="B275" s="5"/>
      <c r="C275" s="1"/>
      <c r="D275" s="1"/>
      <c r="E275" s="1"/>
      <c r="F275" s="1"/>
      <c r="G275" s="1"/>
    </row>
    <row r="276" spans="1:7" ht="12.75">
      <c r="A276" s="1"/>
      <c r="B276" s="5"/>
      <c r="C276" s="1"/>
      <c r="D276" s="1"/>
      <c r="E276" s="1"/>
      <c r="F276" s="1"/>
      <c r="G276" s="1"/>
    </row>
    <row r="277" spans="1:7" ht="12.75">
      <c r="A277" s="1"/>
      <c r="B277" s="5"/>
      <c r="C277" s="1"/>
      <c r="D277" s="1"/>
      <c r="E277" s="1"/>
      <c r="F277" s="1"/>
      <c r="G277" s="1"/>
    </row>
    <row r="278" spans="1:7" ht="12.75">
      <c r="A278" s="1"/>
      <c r="B278" s="5"/>
      <c r="C278" s="1"/>
      <c r="D278" s="1"/>
      <c r="E278" s="1"/>
      <c r="F278" s="1"/>
      <c r="G278" s="1"/>
    </row>
    <row r="279" spans="1:7" ht="12.75">
      <c r="A279" s="1"/>
      <c r="B279" s="5"/>
      <c r="C279" s="1"/>
      <c r="D279" s="1"/>
      <c r="E279" s="1"/>
      <c r="F279" s="1"/>
      <c r="G279" s="1"/>
    </row>
    <row r="280" spans="1:7" ht="12.75">
      <c r="A280" s="1"/>
      <c r="B280" s="5"/>
      <c r="C280" s="1"/>
      <c r="D280" s="1"/>
      <c r="E280" s="1"/>
      <c r="F280" s="1"/>
      <c r="G280" s="1"/>
    </row>
    <row r="281" spans="1:7" ht="12.75">
      <c r="A281" s="1"/>
      <c r="B281" s="5"/>
      <c r="C281" s="1"/>
      <c r="D281" s="1"/>
      <c r="E281" s="1"/>
      <c r="F281" s="1"/>
      <c r="G281" s="1"/>
    </row>
    <row r="282" spans="1:7" ht="12.75">
      <c r="A282" s="1"/>
      <c r="B282" s="5"/>
      <c r="C282" s="1"/>
      <c r="D282" s="1"/>
      <c r="E282" s="1"/>
      <c r="F282" s="1"/>
      <c r="G282" s="1"/>
    </row>
    <row r="283" spans="1:7" ht="12.75">
      <c r="A283" s="1"/>
      <c r="B283" s="5"/>
      <c r="C283" s="1"/>
      <c r="D283" s="1"/>
      <c r="E283" s="1"/>
      <c r="F283" s="1"/>
      <c r="G283" s="1"/>
    </row>
    <row r="284" spans="1:7" ht="12.75">
      <c r="A284" s="1"/>
      <c r="B284" s="5"/>
      <c r="C284" s="1"/>
      <c r="D284" s="1"/>
      <c r="E284" s="1"/>
      <c r="F284" s="1"/>
      <c r="G284" s="1"/>
    </row>
    <row r="285" spans="1:7" ht="12.75">
      <c r="A285" s="1"/>
      <c r="B285" s="5"/>
      <c r="C285" s="1"/>
      <c r="D285" s="1"/>
      <c r="E285" s="1"/>
      <c r="F285" s="1"/>
      <c r="G285" s="1"/>
    </row>
    <row r="286" spans="1:7" ht="12.75">
      <c r="A286" s="1"/>
      <c r="B286" s="5"/>
      <c r="C286" s="1"/>
      <c r="D286" s="1"/>
      <c r="E286" s="1"/>
      <c r="F286" s="1"/>
      <c r="G286" s="1"/>
    </row>
    <row r="287" spans="1:7" ht="12.75">
      <c r="A287" s="1"/>
      <c r="B287" s="5"/>
      <c r="C287" s="1"/>
      <c r="D287" s="1"/>
      <c r="E287" s="1"/>
      <c r="F287" s="1"/>
      <c r="G287" s="1"/>
    </row>
    <row r="288" spans="1:7" ht="12.75">
      <c r="A288" s="1"/>
      <c r="B288" s="5"/>
      <c r="C288" s="1"/>
      <c r="D288" s="1"/>
      <c r="E288" s="1"/>
      <c r="F288" s="1"/>
      <c r="G288" s="1"/>
    </row>
    <row r="289" spans="1:7" ht="12.75">
      <c r="A289" s="1"/>
      <c r="B289" s="5"/>
      <c r="C289" s="1"/>
      <c r="D289" s="1"/>
      <c r="E289" s="1"/>
      <c r="F289" s="1"/>
      <c r="G289" s="1"/>
    </row>
    <row r="290" spans="1:7" ht="12.75">
      <c r="A290" s="1"/>
      <c r="B290" s="5"/>
      <c r="C290" s="1"/>
      <c r="D290" s="1"/>
      <c r="E290" s="1"/>
      <c r="F290" s="1"/>
      <c r="G290" s="1"/>
    </row>
    <row r="291" spans="1:7" ht="12.75">
      <c r="A291" s="1"/>
      <c r="B291" s="5"/>
      <c r="C291" s="1"/>
      <c r="D291" s="1"/>
      <c r="E291" s="1"/>
      <c r="F291" s="1"/>
      <c r="G291" s="1"/>
    </row>
    <row r="292" spans="1:7" ht="12.75">
      <c r="A292" s="1"/>
      <c r="B292" s="5"/>
      <c r="C292" s="1"/>
      <c r="D292" s="1"/>
      <c r="E292" s="1"/>
      <c r="F292" s="1"/>
      <c r="G292" s="1"/>
    </row>
    <row r="293" spans="1:7" ht="12.75">
      <c r="A293" s="1"/>
      <c r="B293" s="5"/>
      <c r="C293" s="1"/>
      <c r="D293" s="1"/>
      <c r="E293" s="1"/>
      <c r="F293" s="1"/>
      <c r="G293" s="1"/>
    </row>
    <row r="294" spans="1:7" ht="12.75">
      <c r="A294" s="1"/>
      <c r="B294" s="5"/>
      <c r="C294" s="1"/>
      <c r="D294" s="1"/>
      <c r="E294" s="1"/>
      <c r="F294" s="1"/>
      <c r="G294" s="1"/>
    </row>
    <row r="295" spans="1:7" ht="12.75">
      <c r="A295" s="1"/>
      <c r="B295" s="5"/>
      <c r="C295" s="1"/>
      <c r="D295" s="1"/>
      <c r="E295" s="1"/>
      <c r="F295" s="1"/>
      <c r="G295" s="1"/>
    </row>
    <row r="296" spans="1:7" ht="12.75">
      <c r="A296" s="1"/>
      <c r="B296" s="5"/>
      <c r="C296" s="1"/>
      <c r="D296" s="1"/>
      <c r="E296" s="1"/>
      <c r="F296" s="1"/>
      <c r="G296" s="1"/>
    </row>
    <row r="297" spans="1:7" ht="12.75">
      <c r="A297" s="1"/>
      <c r="B297" s="5"/>
      <c r="C297" s="1"/>
      <c r="D297" s="1"/>
      <c r="E297" s="1"/>
      <c r="F297" s="1"/>
      <c r="G297" s="1"/>
    </row>
    <row r="298" spans="1:7" ht="12.75">
      <c r="A298" s="1"/>
      <c r="B298" s="5"/>
      <c r="C298" s="1"/>
      <c r="D298" s="1"/>
      <c r="E298" s="1"/>
      <c r="F298" s="1"/>
      <c r="G298" s="1"/>
    </row>
    <row r="299" spans="1:7" ht="12.75">
      <c r="A299" s="1"/>
      <c r="B299" s="5"/>
      <c r="C299" s="1"/>
      <c r="D299" s="1"/>
      <c r="E299" s="1"/>
      <c r="F299" s="1"/>
      <c r="G299" s="1"/>
    </row>
    <row r="300" spans="1:7" ht="12.75">
      <c r="A300" s="1"/>
      <c r="B300" s="5"/>
      <c r="C300" s="1"/>
      <c r="D300" s="1"/>
      <c r="E300" s="1"/>
      <c r="F300" s="1"/>
      <c r="G300" s="1"/>
    </row>
    <row r="301" spans="1:7" ht="12.75">
      <c r="A301" s="1"/>
      <c r="B301" s="5"/>
      <c r="C301" s="1"/>
      <c r="D301" s="1"/>
      <c r="E301" s="1"/>
      <c r="F301" s="1"/>
      <c r="G301" s="1"/>
    </row>
    <row r="302" spans="1:7" ht="12.75">
      <c r="A302" s="1"/>
      <c r="B302" s="5"/>
      <c r="C302" s="1"/>
      <c r="D302" s="1"/>
      <c r="E302" s="1"/>
      <c r="F302" s="1"/>
      <c r="G302" s="1"/>
    </row>
    <row r="303" spans="1:7" ht="12.75">
      <c r="A303" s="1"/>
      <c r="B303" s="5"/>
      <c r="C303" s="1"/>
      <c r="D303" s="1"/>
      <c r="E303" s="1"/>
      <c r="F303" s="1"/>
      <c r="G303" s="1"/>
    </row>
    <row r="304" spans="1:7" ht="12.75">
      <c r="A304" s="1"/>
      <c r="B304" s="5"/>
      <c r="C304" s="1"/>
      <c r="D304" s="1"/>
      <c r="E304" s="1"/>
      <c r="F304" s="1"/>
      <c r="G304" s="1"/>
    </row>
    <row r="305" spans="1:7" ht="12.75">
      <c r="A305" s="1"/>
      <c r="B305" s="5"/>
      <c r="C305" s="1"/>
      <c r="D305" s="1"/>
      <c r="E305" s="1"/>
      <c r="F305" s="1"/>
      <c r="G305" s="1"/>
    </row>
    <row r="306" spans="1:7" ht="12.75">
      <c r="A306" s="1"/>
      <c r="B306" s="5"/>
      <c r="C306" s="1"/>
      <c r="D306" s="1"/>
      <c r="E306" s="1"/>
      <c r="F306" s="1"/>
      <c r="G306" s="1"/>
    </row>
    <row r="307" spans="1:7" ht="12.75">
      <c r="A307" s="1"/>
      <c r="B307" s="5"/>
      <c r="C307" s="1"/>
      <c r="D307" s="1"/>
      <c r="E307" s="1"/>
      <c r="F307" s="1"/>
      <c r="G307" s="1"/>
    </row>
    <row r="308" spans="1:7" ht="12.75">
      <c r="A308" s="1"/>
      <c r="B308" s="5"/>
      <c r="C308" s="1"/>
      <c r="D308" s="1"/>
      <c r="E308" s="1"/>
      <c r="F308" s="1"/>
      <c r="G308" s="1"/>
    </row>
    <row r="309" spans="1:7" ht="12.75">
      <c r="A309" s="1"/>
      <c r="B309" s="5"/>
      <c r="C309" s="1"/>
      <c r="D309" s="1"/>
      <c r="E309" s="1"/>
      <c r="F309" s="1"/>
      <c r="G309" s="1"/>
    </row>
    <row r="310" spans="1:7" ht="12.75">
      <c r="A310" s="1"/>
      <c r="B310" s="5"/>
      <c r="C310" s="1"/>
      <c r="D310" s="1"/>
      <c r="E310" s="1"/>
      <c r="F310" s="1"/>
      <c r="G310" s="1"/>
    </row>
    <row r="311" spans="1:7" ht="12.75">
      <c r="A311" s="1"/>
      <c r="B311" s="5"/>
      <c r="C311" s="1"/>
      <c r="D311" s="1"/>
      <c r="E311" s="1"/>
      <c r="F311" s="1"/>
      <c r="G311" s="1"/>
    </row>
    <row r="312" spans="1:7" ht="12.75">
      <c r="A312" s="1"/>
      <c r="B312" s="5"/>
      <c r="C312" s="1"/>
      <c r="D312" s="1"/>
      <c r="E312" s="1"/>
      <c r="F312" s="1"/>
      <c r="G312" s="1"/>
    </row>
    <row r="313" spans="1:7" ht="12.75">
      <c r="A313" s="1"/>
      <c r="B313" s="5"/>
      <c r="C313" s="1"/>
      <c r="D313" s="1"/>
      <c r="E313" s="1"/>
      <c r="F313" s="1"/>
      <c r="G313" s="1"/>
    </row>
    <row r="314" spans="1:7" ht="12.75">
      <c r="A314" s="1"/>
      <c r="B314" s="5"/>
      <c r="C314" s="1"/>
      <c r="D314" s="1"/>
      <c r="E314" s="1"/>
      <c r="F314" s="1"/>
      <c r="G314" s="1"/>
    </row>
    <row r="315" spans="1:7" ht="12.75">
      <c r="A315" s="1"/>
      <c r="B315" s="5"/>
      <c r="C315" s="1"/>
      <c r="D315" s="1"/>
      <c r="E315" s="1"/>
      <c r="F315" s="1"/>
      <c r="G315" s="1"/>
    </row>
    <row r="316" spans="1:7" ht="12.75">
      <c r="A316" s="1"/>
      <c r="B316" s="5"/>
      <c r="C316" s="1"/>
      <c r="D316" s="1"/>
      <c r="E316" s="1"/>
      <c r="F316" s="1"/>
      <c r="G316" s="1"/>
    </row>
    <row r="317" spans="1:7" ht="12.75">
      <c r="A317" s="1"/>
      <c r="B317" s="5"/>
      <c r="C317" s="1"/>
      <c r="D317" s="1"/>
      <c r="E317" s="1"/>
      <c r="F317" s="1"/>
      <c r="G317" s="1"/>
    </row>
    <row r="318" spans="1:7" ht="12.75">
      <c r="A318" s="1"/>
      <c r="B318" s="5"/>
      <c r="C318" s="1"/>
      <c r="D318" s="1"/>
      <c r="E318" s="1"/>
      <c r="F318" s="1"/>
      <c r="G318" s="1"/>
    </row>
    <row r="319" spans="1:7" ht="12.75">
      <c r="A319" s="1"/>
      <c r="B319" s="5"/>
      <c r="C319" s="1"/>
      <c r="D319" s="1"/>
      <c r="E319" s="1"/>
      <c r="F319" s="1"/>
      <c r="G319" s="1"/>
    </row>
    <row r="320" spans="1:7" ht="12.75">
      <c r="A320" s="1"/>
      <c r="B320" s="5"/>
      <c r="C320" s="1"/>
      <c r="D320" s="1"/>
      <c r="E320" s="1"/>
      <c r="F320" s="1"/>
      <c r="G320" s="1"/>
    </row>
    <row r="321" spans="1:7" ht="12.75">
      <c r="A321" s="1"/>
      <c r="B321" s="5"/>
      <c r="C321" s="1"/>
      <c r="D321" s="1"/>
      <c r="E321" s="1"/>
      <c r="F321" s="1"/>
      <c r="G321" s="1"/>
    </row>
    <row r="322" spans="1:7" ht="12.75">
      <c r="A322" s="1"/>
      <c r="B322" s="5"/>
      <c r="C322" s="1"/>
      <c r="D322" s="1"/>
      <c r="E322" s="1"/>
      <c r="F322" s="1"/>
      <c r="G322" s="1"/>
    </row>
    <row r="323" spans="1:7" ht="12.75">
      <c r="A323" s="1"/>
      <c r="B323" s="5"/>
      <c r="C323" s="1"/>
      <c r="D323" s="1"/>
      <c r="E323" s="1"/>
      <c r="F323" s="1"/>
      <c r="G323" s="1"/>
    </row>
    <row r="324" spans="1:7" ht="12.75">
      <c r="A324" s="1"/>
      <c r="B324" s="5"/>
      <c r="C324" s="1"/>
      <c r="D324" s="1"/>
      <c r="E324" s="1"/>
      <c r="F324" s="1"/>
      <c r="G324" s="1"/>
    </row>
    <row r="325" spans="1:7" ht="12.75">
      <c r="A325" s="1"/>
      <c r="B325" s="5"/>
      <c r="C325" s="1"/>
      <c r="D325" s="1"/>
      <c r="E325" s="1"/>
      <c r="F325" s="1"/>
      <c r="G325" s="1"/>
    </row>
    <row r="326" spans="1:7" ht="12.75">
      <c r="A326" s="1"/>
      <c r="B326" s="5"/>
      <c r="C326" s="1"/>
      <c r="D326" s="1"/>
      <c r="E326" s="1"/>
      <c r="F326" s="1"/>
      <c r="G326" s="1"/>
    </row>
    <row r="327" spans="1:7" ht="12.75">
      <c r="A327" s="1"/>
      <c r="B327" s="5"/>
      <c r="C327" s="1"/>
      <c r="D327" s="1"/>
      <c r="E327" s="1"/>
      <c r="F327" s="1"/>
      <c r="G327" s="1"/>
    </row>
    <row r="328" spans="1:7" ht="12.75">
      <c r="A328" s="1"/>
      <c r="B328" s="5"/>
      <c r="C328" s="1"/>
      <c r="D328" s="1"/>
      <c r="E328" s="1"/>
      <c r="F328" s="1"/>
      <c r="G328" s="1"/>
    </row>
    <row r="329" spans="1:7" ht="12.75">
      <c r="A329" s="1"/>
      <c r="B329" s="5"/>
      <c r="C329" s="1"/>
      <c r="D329" s="1"/>
      <c r="E329" s="1"/>
      <c r="F329" s="1"/>
      <c r="G329" s="1"/>
    </row>
    <row r="330" spans="1:7" ht="12.75">
      <c r="A330" s="1"/>
      <c r="B330" s="5"/>
      <c r="C330" s="1"/>
      <c r="D330" s="1"/>
      <c r="E330" s="1"/>
      <c r="F330" s="1"/>
      <c r="G330" s="1"/>
    </row>
    <row r="331" spans="1:7" ht="12.75">
      <c r="A331" s="1"/>
      <c r="B331" s="5"/>
      <c r="C331" s="1"/>
      <c r="D331" s="1"/>
      <c r="E331" s="1"/>
      <c r="F331" s="1"/>
      <c r="G331" s="1"/>
    </row>
    <row r="332" spans="1:7" ht="12.75">
      <c r="A332" s="1"/>
      <c r="B332" s="5"/>
      <c r="C332" s="1"/>
      <c r="D332" s="1"/>
      <c r="E332" s="1"/>
      <c r="F332" s="1"/>
      <c r="G332" s="1"/>
    </row>
    <row r="333" spans="1:7" ht="12.75">
      <c r="A333" s="1"/>
      <c r="B333" s="5"/>
      <c r="C333" s="1"/>
      <c r="D333" s="1"/>
      <c r="E333" s="1"/>
      <c r="F333" s="1"/>
      <c r="G333" s="1"/>
    </row>
    <row r="334" spans="1:7" ht="12.75">
      <c r="A334" s="1"/>
      <c r="B334" s="5"/>
      <c r="C334" s="1"/>
      <c r="D334" s="1"/>
      <c r="E334" s="1"/>
      <c r="F334" s="1"/>
      <c r="G334" s="1"/>
    </row>
    <row r="335" spans="1:7" ht="12.75">
      <c r="A335" s="1"/>
      <c r="B335" s="5"/>
      <c r="C335" s="1"/>
      <c r="D335" s="1"/>
      <c r="E335" s="1"/>
      <c r="F335" s="1"/>
      <c r="G335" s="1"/>
    </row>
    <row r="336" spans="1:7" ht="12.75">
      <c r="A336" s="1"/>
      <c r="B336" s="5"/>
      <c r="C336" s="1"/>
      <c r="D336" s="1"/>
      <c r="E336" s="1"/>
      <c r="F336" s="1"/>
      <c r="G336" s="1"/>
    </row>
    <row r="337" spans="1:7" ht="12.75">
      <c r="A337" s="1"/>
      <c r="B337" s="5"/>
      <c r="C337" s="1"/>
      <c r="D337" s="1"/>
      <c r="E337" s="1"/>
      <c r="F337" s="1"/>
      <c r="G337" s="1"/>
    </row>
    <row r="338" spans="1:7" ht="12.75">
      <c r="A338" s="1"/>
      <c r="B338" s="5"/>
      <c r="C338" s="1"/>
      <c r="D338" s="1"/>
      <c r="E338" s="1"/>
      <c r="F338" s="1"/>
      <c r="G338" s="1"/>
    </row>
    <row r="339" spans="1:7" ht="12.75">
      <c r="A339" s="1"/>
      <c r="B339" s="5"/>
      <c r="C339" s="1"/>
      <c r="D339" s="1"/>
      <c r="E339" s="1"/>
      <c r="F339" s="1"/>
      <c r="G339" s="1"/>
    </row>
    <row r="340" spans="1:7" ht="12.75">
      <c r="A340" s="1"/>
      <c r="B340" s="5"/>
      <c r="C340" s="1"/>
      <c r="D340" s="1"/>
      <c r="E340" s="1"/>
      <c r="F340" s="1"/>
      <c r="G340" s="1"/>
    </row>
    <row r="341" spans="1:7" ht="12.75">
      <c r="A341" s="1"/>
      <c r="B341" s="5"/>
      <c r="C341" s="1"/>
      <c r="D341" s="1"/>
      <c r="E341" s="1"/>
      <c r="F341" s="1"/>
      <c r="G341" s="1"/>
    </row>
    <row r="342" spans="1:7" ht="12.75">
      <c r="A342" s="1"/>
      <c r="B342" s="5"/>
      <c r="C342" s="1"/>
      <c r="D342" s="1"/>
      <c r="E342" s="1"/>
      <c r="F342" s="1"/>
      <c r="G342" s="1"/>
    </row>
    <row r="343" spans="1:7" ht="12.75">
      <c r="A343" s="1"/>
      <c r="B343" s="5"/>
      <c r="C343" s="1"/>
      <c r="D343" s="1"/>
      <c r="E343" s="1"/>
      <c r="F343" s="1"/>
      <c r="G343" s="1"/>
    </row>
    <row r="344" spans="1:7" ht="12.75">
      <c r="A344" s="1"/>
      <c r="B344" s="5"/>
      <c r="C344" s="1"/>
      <c r="D344" s="1"/>
      <c r="E344" s="1"/>
      <c r="F344" s="1"/>
      <c r="G344" s="1"/>
    </row>
    <row r="345" spans="1:7" ht="12.75">
      <c r="A345" s="1"/>
      <c r="B345" s="5"/>
      <c r="C345" s="1"/>
      <c r="D345" s="1"/>
      <c r="E345" s="1"/>
      <c r="F345" s="1"/>
      <c r="G345" s="1"/>
    </row>
    <row r="346" spans="1:7" ht="12.75">
      <c r="A346" s="1"/>
      <c r="B346" s="5"/>
      <c r="C346" s="1"/>
      <c r="D346" s="1"/>
      <c r="E346" s="1"/>
      <c r="F346" s="1"/>
      <c r="G346" s="1"/>
    </row>
    <row r="347" spans="1:7" ht="12.75">
      <c r="A347" s="1"/>
      <c r="B347" s="5"/>
      <c r="C347" s="1"/>
      <c r="D347" s="1"/>
      <c r="E347" s="1"/>
      <c r="F347" s="1"/>
      <c r="G347" s="1"/>
    </row>
    <row r="348" spans="1:7" ht="12.75">
      <c r="A348" s="1"/>
      <c r="B348" s="5"/>
      <c r="C348" s="1"/>
      <c r="D348" s="1"/>
      <c r="E348" s="1"/>
      <c r="F348" s="1"/>
      <c r="G348" s="1"/>
    </row>
    <row r="349" spans="1:7" ht="12.75">
      <c r="A349" s="1"/>
      <c r="B349" s="5"/>
      <c r="C349" s="1"/>
      <c r="D349" s="1"/>
      <c r="E349" s="1"/>
      <c r="F349" s="1"/>
      <c r="G349" s="1"/>
    </row>
    <row r="350" spans="1:7" ht="12.75">
      <c r="A350" s="1"/>
      <c r="B350" s="5"/>
      <c r="C350" s="1"/>
      <c r="D350" s="1"/>
      <c r="E350" s="1"/>
      <c r="F350" s="1"/>
      <c r="G350" s="1"/>
    </row>
  </sheetData>
  <sheetProtection password="D8FD" sheet="1"/>
  <hyperlinks>
    <hyperlink ref="A26" location="Istruzioni!A1" display="Vai alla pagina Istruzioni"/>
  </hyperlinks>
  <printOptions/>
  <pageMargins left="0.5905511811023623" right="0.3937007874015748" top="0.5905511811023623" bottom="0.5905511811023623" header="0.31496062992125984" footer="0.31496062992125984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CISL SCUOLA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 Napoli</dc:creator>
  <cp:keywords/>
  <dc:description/>
  <cp:lastModifiedBy>Peppe</cp:lastModifiedBy>
  <cp:lastPrinted>2015-01-14T05:15:20Z</cp:lastPrinted>
  <dcterms:created xsi:type="dcterms:W3CDTF">2000-02-02T09:10:13Z</dcterms:created>
  <dcterms:modified xsi:type="dcterms:W3CDTF">2017-07-17T17:04:42Z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